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Area" localSheetId="0">'дод.6'!$B$1:$J$161</definedName>
  </definedNames>
  <calcPr fullCalcOnLoad="1"/>
</workbook>
</file>

<file path=xl/sharedStrings.xml><?xml version="1.0" encoding="utf-8"?>
<sst xmlns="http://schemas.openxmlformats.org/spreadsheetml/2006/main" count="333" uniqueCount="188">
  <si>
    <t>Загальний фонд</t>
  </si>
  <si>
    <t>Спеціальний фонд</t>
  </si>
  <si>
    <t xml:space="preserve">Всього </t>
  </si>
  <si>
    <t>0731</t>
  </si>
  <si>
    <t>Багатопрофільна стаціонарна медична допомога населенню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</si>
  <si>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</si>
  <si>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</si>
  <si>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1030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</si>
  <si>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</si>
  <si>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</si>
  <si>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</si>
  <si>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Фінансова підтримка дитячо-юнацьких спортивних шкіл фізкультурно-спортивних товариств</t>
  </si>
  <si>
    <t>1070</t>
  </si>
  <si>
    <t>Компенсаційні виплати на пільговий проїзд автомобільним транспортом окремим категоріям громадян</t>
  </si>
  <si>
    <t>1090</t>
  </si>
  <si>
    <t>0180</t>
  </si>
  <si>
    <t>0490</t>
  </si>
  <si>
    <t>0921</t>
  </si>
  <si>
    <t>0960</t>
  </si>
  <si>
    <t>0990</t>
  </si>
  <si>
    <t>Утримання та навчально-тренувальна робота комунальних дитячо-юнацьких спортивних шкіл</t>
  </si>
  <si>
    <t>Здійснення заходів та реалізація проектів на виконання Державної цільової соціальної програми "Молодь України"</t>
  </si>
  <si>
    <t>0800000</t>
  </si>
  <si>
    <t>0813032</t>
  </si>
  <si>
    <t xml:space="preserve">Надання пільг окремим категорім громадян з оплати послуг зв"зку </t>
  </si>
  <si>
    <t>0813033</t>
  </si>
  <si>
    <t>0813035</t>
  </si>
  <si>
    <t>Компенсаційні виплати на пільговий проїзд окремих категорій громадян на залізничному транспорті</t>
  </si>
  <si>
    <t>0813242</t>
  </si>
  <si>
    <t>Інші заходи у сфері соціального захисту і соціального забезпечення</t>
  </si>
  <si>
    <t>0810000</t>
  </si>
  <si>
    <t>0600000</t>
  </si>
  <si>
    <t>0610000</t>
  </si>
  <si>
    <t>Інші програми та заходи у сфері освіти</t>
  </si>
  <si>
    <t>0615031</t>
  </si>
  <si>
    <t>0829</t>
  </si>
  <si>
    <t>Інші заходи в галузі культури і мистецтва</t>
  </si>
  <si>
    <t>Інші субвенції з місцевого бюджету</t>
  </si>
  <si>
    <t>0640</t>
  </si>
  <si>
    <t>Інша діяльність у сфері житлово-комунального господарства</t>
  </si>
  <si>
    <t>0726</t>
  </si>
  <si>
    <t>0100000</t>
  </si>
  <si>
    <t>0110000</t>
  </si>
  <si>
    <t>0620</t>
  </si>
  <si>
    <t>0813031</t>
  </si>
  <si>
    <t>Надання інших пільг окремим категоріям громадян відповідно до законодавства</t>
  </si>
  <si>
    <t>Забезпечення діяльності інших закладів у сфері освіти</t>
  </si>
  <si>
    <t>0763</t>
  </si>
  <si>
    <t>Централізовані заходи з лікування онкологічних хворих</t>
  </si>
  <si>
    <t>0456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</si>
  <si>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</si>
  <si>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</si>
  <si>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</si>
  <si>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</si>
  <si>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</si>
  <si>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0813160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</si>
  <si>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</si>
  <si>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</si>
  <si>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1000000</t>
  </si>
  <si>
    <t>1010000</t>
  </si>
  <si>
    <t>1015011</t>
  </si>
  <si>
    <t>1015012</t>
  </si>
  <si>
    <t>1015032</t>
  </si>
  <si>
    <t>1013131</t>
  </si>
  <si>
    <t>(код бюджету)</t>
  </si>
  <si>
    <t>Надання позашкільної освіти закладами  позашкільними освіти, заходи із позашкільної роботи з дітьми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</si>
  <si>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</si>
  <si>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</si>
  <si>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</si>
  <si>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(грн.)</t>
  </si>
  <si>
    <t>Розподіл витрат міського бюджету на реалізацію місцевих/регіональних програм у 2021 році</t>
  </si>
  <si>
    <r>
      <t xml:space="preserve">Зміївська міська рада </t>
    </r>
    <r>
      <rPr>
        <sz val="11"/>
        <rFont val="Times New Roman"/>
        <family val="1"/>
      </rPr>
      <t>(головний розпорядник)</t>
    </r>
  </si>
  <si>
    <t>Програма фінансової підтримки закладів охорони здоров'я Зміївської міської ради на 2021-2023 роки</t>
  </si>
  <si>
    <r>
      <t xml:space="preserve">Зміївська міська рада  </t>
    </r>
    <r>
      <rPr>
        <sz val="11"/>
        <rFont val="Times New Roman"/>
        <family val="1"/>
      </rPr>
      <t xml:space="preserve">(відповідальний виконавець) </t>
    </r>
  </si>
  <si>
    <t>Комплексна програма розвитку освітянської галузі Зміївської міської ради на 2021-2023 роки</t>
  </si>
  <si>
    <r>
      <t>Відділ освіти Зміївської міської ради</t>
    </r>
    <r>
      <rPr>
        <sz val="11"/>
        <rFont val="Times New Roman"/>
        <family val="1"/>
      </rPr>
      <t xml:space="preserve"> (головний розпорядник)</t>
    </r>
  </si>
  <si>
    <r>
      <t>Відділ освіти Зміївської міської ради</t>
    </r>
    <r>
      <rPr>
        <sz val="11"/>
        <rFont val="Times New Roman"/>
        <family val="1"/>
      </rPr>
      <t xml:space="preserve"> (відповідальний виконавець) </t>
    </r>
  </si>
  <si>
    <t>Програма військово-патріотичного виховання та допризивної підготовки учнів закладів загальної середньої освіти Зміївської міської ради на 2021-2023 роки</t>
  </si>
  <si>
    <r>
      <t xml:space="preserve">Відділ освіти Зміївської міської ради </t>
    </r>
    <r>
      <rPr>
        <sz val="11"/>
        <rFont val="Times New Roman"/>
        <family val="1"/>
      </rPr>
      <t>(головний розпорядник)</t>
    </r>
  </si>
  <si>
    <r>
      <t>Відділ освіти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Зміївської міської ради</t>
    </r>
    <r>
      <rPr>
        <sz val="11"/>
        <rFont val="Times New Roman"/>
        <family val="1"/>
      </rPr>
      <t xml:space="preserve"> (відповідальний виконавець) </t>
    </r>
  </si>
  <si>
    <r>
      <t xml:space="preserve">Управління соціального захисту населення Зміївської міської ради </t>
    </r>
    <r>
      <rPr>
        <sz val="11"/>
        <rFont val="Times New Roman"/>
        <family val="1"/>
      </rPr>
      <t>(головний розпорядник)</t>
    </r>
  </si>
  <si>
    <r>
      <t xml:space="preserve">Управління соціального захисту населення Зміївської міської ради </t>
    </r>
    <r>
      <rPr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</si>
  <si>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Програма соціального захисту населення Зміївської міської ради на 2020-2021 роки</t>
  </si>
  <si>
    <t>Програма соціально-економічного та культурного розвитку Зміївської міської ради на 2020-2021 роки</t>
  </si>
  <si>
    <t>0116030</t>
  </si>
  <si>
    <t>Організація благоустрою населених пунктів</t>
  </si>
  <si>
    <t>0116090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</si>
  <si>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</si>
  <si>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</si>
  <si>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(медико-санірної) допомоги</t>
  </si>
  <si>
    <t>0112010</t>
  </si>
  <si>
    <t>0112111</t>
  </si>
  <si>
    <t>0112145</t>
  </si>
  <si>
    <t xml:space="preserve">Програма розвитку фізичної культури і спорту Зміївської міської ради на 2021-2025 роки </t>
  </si>
  <si>
    <t>1015061</t>
  </si>
  <si>
    <t xml:space="preserve">Забезпечення діяльності місцевих центрів фізичного здоров"я населення "Спорт для всіх" та проведення фізкультурно-масових заходів серед населення </t>
  </si>
  <si>
    <r>
      <t>Відділ культури, молоді, спорту та туризму Зміївської міської ради</t>
    </r>
    <r>
      <rPr>
        <sz val="11"/>
        <rFont val="Times New Roman"/>
        <family val="1"/>
      </rPr>
      <t xml:space="preserve">(відповідальний виконавець) </t>
    </r>
  </si>
  <si>
    <t>Програма культурно-мистецьких заходів Зміївської міської ради на 2021-2025 роки</t>
  </si>
  <si>
    <t>0118311</t>
  </si>
  <si>
    <t>0511</t>
  </si>
  <si>
    <t>Охорона та раціональне використання природних ресурсів</t>
  </si>
  <si>
    <t>Екологічна програма Зміївської міської ради на 2020-2021 роки</t>
  </si>
  <si>
    <t>0117680</t>
  </si>
  <si>
    <t>Членські внески до асоціацій органів місцевого самоврядування</t>
  </si>
  <si>
    <r>
      <t xml:space="preserve">Фінансове управління Зміївської міської ради </t>
    </r>
    <r>
      <rPr>
        <sz val="11"/>
        <rFont val="Times New Roman"/>
        <family val="1"/>
      </rPr>
      <t>(головний розпорядник)</t>
    </r>
  </si>
  <si>
    <r>
      <t>Фінансове управління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Зміївської міської ради </t>
    </r>
    <r>
      <rPr>
        <sz val="11"/>
        <rFont val="Times New Roman"/>
        <family val="1"/>
      </rPr>
      <t>(відповідальний виконавець)</t>
    </r>
  </si>
  <si>
    <t>06111010</t>
  </si>
  <si>
    <t>0910</t>
  </si>
  <si>
    <t>Надання дошкільної освіти</t>
  </si>
  <si>
    <r>
      <t xml:space="preserve">Відділ культури, молоді, спорту та туризму Зміївської міської ради </t>
    </r>
    <r>
      <rPr>
        <sz val="11"/>
        <rFont val="Times New Roman"/>
        <family val="1"/>
      </rPr>
      <t>(головний розпорядник)</t>
    </r>
  </si>
  <si>
    <r>
      <t xml:space="preserve">Відділ культури, молоді, спорту та туризму Зміївської міської ради </t>
    </r>
    <r>
      <rPr>
        <sz val="11"/>
        <rFont val="Times New Roman"/>
        <family val="1"/>
      </rPr>
      <t xml:space="preserve">(відповідальний виконавець) </t>
    </r>
  </si>
  <si>
    <r>
      <t xml:space="preserve">Зміївська міська рада </t>
    </r>
    <r>
      <rPr>
        <sz val="11"/>
        <rFont val="Times New Roman"/>
        <family val="1"/>
      </rPr>
      <t xml:space="preserve">(відповідальний виконавець) </t>
    </r>
  </si>
  <si>
    <r>
      <t xml:space="preserve">Відділ культури, молоді, спорту та туризму Зміївської міської ради  </t>
    </r>
    <r>
      <rPr>
        <sz val="11"/>
        <rFont val="Times New Roman"/>
        <family val="1"/>
      </rPr>
      <t xml:space="preserve">(відповідальний виконавець) </t>
    </r>
  </si>
  <si>
    <t xml:space="preserve">Програма розвитку Комунальної установи по забезпеченню діяльності з утримання та обслуговування майна комунальної власності Зміївської міської ради на 2021 рік  </t>
  </si>
  <si>
    <t>0611021</t>
  </si>
  <si>
    <t>Надання загальної середньої освіти закладами загальної середньої освіти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</si>
  <si>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</si>
  <si>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</si>
  <si>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</si>
  <si>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</si>
  <si>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</si>
  <si>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0611160</t>
  </si>
  <si>
    <t xml:space="preserve">Забезпечення діяльності центрів професійного розвитку педагогічних працівників </t>
  </si>
  <si>
    <t>Комплексна програма "Молодь Зміївщини" на 2021-2025 роки</t>
  </si>
  <si>
    <t>Програма компенсації за пільгові перевезення окремих категорій громадян автомобільним транспортом по Зміївській міській раді на 2021 рік</t>
  </si>
  <si>
    <t>Програма компенсації за пільгові перевезення окремих категорій громадян залізничним транспортом приміського сполучення по Зміївській міській раді на 2021 рік</t>
  </si>
  <si>
    <t>Програма реформування і розвитку житлово-комунального господарства Зміївської міської ради на 2021 рік</t>
  </si>
  <si>
    <t>Програма спортивних заходів Комунального підприємства Центру фізичного здоров'я населення "Спорт для всіх Зміївської міської ради" на 2021-2025 роки</t>
  </si>
  <si>
    <t>0117322</t>
  </si>
  <si>
    <t>0443</t>
  </si>
  <si>
    <t>Будівництво медичних установ та закладів</t>
  </si>
  <si>
    <t>0117368</t>
  </si>
  <si>
    <t>Виконання інвестиційних проектів за рахунок субвенцій з інших бюджетів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</si>
  <si>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</si>
  <si>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</si>
  <si>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0117330</t>
  </si>
  <si>
    <t>Будівництво інших обєктів комунальної власності</t>
  </si>
  <si>
    <t>0117321</t>
  </si>
  <si>
    <t>Будівництво освітніх установ та закладів</t>
  </si>
  <si>
    <t>Програма висвітлення діяльності Зміївської міської ради в засобах масової інформації на 2021-2022 роки</t>
  </si>
  <si>
    <t>Реалізація інших заходів щодо соціально-економічного розвитку територій</t>
  </si>
  <si>
    <t>Програма зайнятості населення Зміївської міської ради на 2021 рік</t>
  </si>
  <si>
    <t>Організація та проведення громадських робіт</t>
  </si>
  <si>
    <t>0117367</t>
  </si>
  <si>
    <t>Виконання інвестиційних проектів в рамках реалізації заходів, спрямованих на розвиток системи охорони здоровя у сільській місцевості</t>
  </si>
  <si>
    <t>Програма благоустрою обєктів культурної та історичної спадщини на 2021-2023 роки</t>
  </si>
  <si>
    <t>Програма з організації підготовки та проведення призову громадян України, які проживають на території Зміївської міської ради, на строкову військову службу у 2021-2023 роках</t>
  </si>
  <si>
    <r>
      <t>Фінансове управління Зміївської міської ради</t>
    </r>
    <r>
      <rPr>
        <sz val="11"/>
        <rFont val="Times New Roman"/>
        <family val="1"/>
      </rPr>
      <t xml:space="preserve"> (головний розпорядник)</t>
    </r>
  </si>
  <si>
    <t>Субвенція з місцевого бюджету державному бюджету на виконання програм соціально-економічного розвитку регіонів</t>
  </si>
  <si>
    <t>Програма „Приміський автобус” Зміївської територіальної громади на 2021-2023 роки</t>
  </si>
  <si>
    <t xml:space="preserve">Організація благоустрою населених пунктів </t>
  </si>
  <si>
    <t>0117413</t>
  </si>
  <si>
    <t>0451</t>
  </si>
  <si>
    <t>Інші заходи у сфері автотранспорту</t>
  </si>
  <si>
    <t>0117310</t>
  </si>
  <si>
    <t>Будівництво обєктів житлово-комунального господарства</t>
  </si>
  <si>
    <t>0113242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</si>
  <si>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</si>
  <si>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</si>
  <si>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0117370</t>
  </si>
  <si>
    <t>Цільова Програма розвитку цивільного захисту на території Зміївської міської ради Чугуївського району Харківської області на 2021-2023 роки</t>
  </si>
  <si>
    <t>0116012</t>
  </si>
  <si>
    <t>Програма взаємодії з органами місцевого самоврядування України та їх асоціаціями на 2021-2022 роки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</si>
  <si>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</si>
  <si>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</si>
  <si>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</si>
  <si>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</si>
  <si>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0111010</t>
  </si>
  <si>
    <t xml:space="preserve">                          Секретар міської ради                                                                                                                                           Петро КУЧКОВ</t>
  </si>
  <si>
    <t>Програма "Оздоровлення і відпочинку дітей Зміївської міської ради" на 2021 рік</t>
  </si>
  <si>
    <t>Комплексної програми профілактики правопорушень на території Зміївської міської ради Чугуївського району Харківської області на 2021-2025 роки</t>
  </si>
  <si>
    <t>Забезпечення діяльності з виробництва, транспортування, постачання теплової енергії</t>
  </si>
  <si>
    <t>0611181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</si>
  <si>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 </t>
  </si>
  <si>
    <t xml:space="preserve">Субвенція з місцевого бюджету на співфінансування інвестиційних проектів </t>
  </si>
  <si>
    <t>0813140</t>
  </si>
  <si>
    <t>0617321</t>
  </si>
  <si>
    <t>0113210</t>
  </si>
  <si>
    <t>1016030</t>
  </si>
  <si>
    <t>0110180</t>
  </si>
  <si>
    <t>0133</t>
  </si>
  <si>
    <t xml:space="preserve">Інша діяльність у сфері державного управління </t>
  </si>
  <si>
    <t>0117350</t>
  </si>
  <si>
    <t>Розроблення схем планування та забудови територій (містобудівної документації)</t>
  </si>
  <si>
    <t>0117462</t>
  </si>
  <si>
    <t>Утримання та розвиток автомобільних доріг та дорожньої інфраструктури за рахунок коштів субвенції з державного бюджету</t>
  </si>
  <si>
    <t>0817370</t>
  </si>
  <si>
    <t xml:space="preserve">Додаток  5
до рішення міської ради
від 21 грудня 2021 року №1810-ХХІ-VIІІ 
(ХХІ сесія VIІІ скликання)
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</si>
</sst>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9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0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49" fontId="25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5" fillId="26" borderId="12" xfId="0" applyNumberFormat="1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49" fontId="26" fillId="26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 shrinkToFit="1"/>
      <protection locked="0"/>
    </xf>
    <xf numFmtId="0" fontId="30" fillId="0" borderId="12" xfId="0" applyFont="1" applyBorder="1" applyAlignment="1">
      <alignment vertical="center" wrapText="1"/>
    </xf>
    <xf numFmtId="49" fontId="26" fillId="0" borderId="12" xfId="0" applyNumberFormat="1" applyFont="1" applyBorder="1" applyAlignment="1" applyProtection="1">
      <alignment wrapText="1"/>
      <protection locked="0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 shrinkToFit="1"/>
      <protection locked="0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left" vertical="center" wrapText="1" shrinkToFit="1"/>
    </xf>
    <xf numFmtId="0" fontId="26" fillId="0" borderId="12" xfId="0" applyFont="1" applyBorder="1" applyAlignment="1" applyProtection="1">
      <alignment horizontal="justify" wrapText="1"/>
      <protection locked="0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wrapText="1"/>
    </xf>
    <xf numFmtId="0" fontId="26" fillId="0" borderId="12" xfId="0" applyFont="1" applyBorder="1" applyAlignment="1" applyProtection="1">
      <alignment wrapText="1"/>
      <protection locked="0"/>
    </xf>
    <xf numFmtId="0" fontId="26" fillId="0" borderId="12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12" xfId="95" applyNumberFormat="1" applyFont="1" applyBorder="1" applyAlignment="1">
      <alignment horizontal="right" vertical="center"/>
      <protection/>
    </xf>
    <xf numFmtId="3" fontId="30" fillId="0" borderId="12" xfId="0" applyNumberFormat="1" applyFont="1" applyBorder="1" applyAlignment="1">
      <alignment horizontal="right" vertical="center" wrapText="1"/>
    </xf>
    <xf numFmtId="3" fontId="31" fillId="0" borderId="12" xfId="95" applyNumberFormat="1" applyFont="1" applyBorder="1" applyAlignment="1">
      <alignment horizontal="right" vertical="center"/>
      <protection/>
    </xf>
    <xf numFmtId="3" fontId="30" fillId="26" borderId="12" xfId="95" applyNumberFormat="1" applyFont="1" applyFill="1" applyBorder="1" applyAlignment="1">
      <alignment horizontal="right" vertical="center"/>
      <protection/>
    </xf>
    <xf numFmtId="3" fontId="30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194" fontId="30" fillId="0" borderId="12" xfId="95" applyNumberFormat="1" applyFont="1" applyBorder="1" applyAlignment="1">
      <alignment vertical="center"/>
      <protection/>
    </xf>
    <xf numFmtId="194" fontId="30" fillId="0" borderId="12" xfId="95" applyNumberFormat="1" applyFont="1" applyBorder="1">
      <alignment vertical="top"/>
      <protection/>
    </xf>
    <xf numFmtId="3" fontId="30" fillId="26" borderId="12" xfId="95" applyNumberFormat="1" applyFont="1" applyFill="1" applyBorder="1">
      <alignment vertical="top"/>
      <protection/>
    </xf>
    <xf numFmtId="3" fontId="31" fillId="26" borderId="12" xfId="95" applyNumberFormat="1" applyFont="1" applyFill="1" applyBorder="1">
      <alignment vertical="top"/>
      <protection/>
    </xf>
    <xf numFmtId="0" fontId="26" fillId="0" borderId="12" xfId="0" applyFont="1" applyBorder="1" applyAlignment="1">
      <alignment vertical="center" wrapText="1"/>
    </xf>
    <xf numFmtId="194" fontId="31" fillId="0" borderId="12" xfId="0" applyNumberFormat="1" applyFont="1" applyBorder="1" applyAlignment="1">
      <alignment vertical="justify"/>
    </xf>
    <xf numFmtId="0" fontId="33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 shrinkToFit="1"/>
    </xf>
    <xf numFmtId="0" fontId="31" fillId="0" borderId="12" xfId="0" applyNumberFormat="1" applyFont="1" applyFill="1" applyBorder="1" applyAlignment="1" applyProtection="1">
      <alignment horizontal="justify" vertical="center" wrapText="1"/>
      <protection locked="0"/>
    </xf>
    <xf numFmtId="49" fontId="26" fillId="0" borderId="12" xfId="0" applyNumberFormat="1" applyFont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>
      <alignment horizontal="justify" vertical="center" wrapText="1" shrinkToFit="1"/>
    </xf>
    <xf numFmtId="3" fontId="31" fillId="26" borderId="12" xfId="95" applyNumberFormat="1" applyFont="1" applyFill="1" applyBorder="1" applyAlignment="1">
      <alignment horizontal="right" vertical="center"/>
      <protection/>
    </xf>
    <xf numFmtId="0" fontId="30" fillId="0" borderId="12" xfId="0" applyFont="1" applyBorder="1" applyAlignment="1">
      <alignment horizontal="center" vertical="center" wrapText="1"/>
    </xf>
    <xf numFmtId="3" fontId="30" fillId="26" borderId="12" xfId="95" applyNumberFormat="1" applyFont="1" applyFill="1" applyBorder="1" applyAlignment="1">
      <alignment horizontal="center" vertical="top" wrapText="1"/>
      <protection/>
    </xf>
    <xf numFmtId="3" fontId="30" fillId="26" borderId="12" xfId="95" applyNumberFormat="1" applyFont="1" applyFill="1" applyBorder="1" applyAlignment="1">
      <alignment horizontal="center" vertical="center" wrapText="1"/>
      <protection/>
    </xf>
    <xf numFmtId="194" fontId="30" fillId="0" borderId="12" xfId="95" applyNumberFormat="1" applyFont="1" applyBorder="1" applyAlignment="1">
      <alignment horizontal="center" vertical="center" wrapText="1"/>
      <protection/>
    </xf>
    <xf numFmtId="194" fontId="30" fillId="0" borderId="12" xfId="95" applyNumberFormat="1" applyFont="1" applyBorder="1" applyAlignment="1">
      <alignment horizontal="center" vertical="top" wrapText="1"/>
      <protection/>
    </xf>
    <xf numFmtId="0" fontId="31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justify" vertical="center" wrapText="1"/>
    </xf>
    <xf numFmtId="0" fontId="31" fillId="0" borderId="12" xfId="0" applyFont="1" applyBorder="1" applyAlignment="1" applyProtection="1">
      <alignment horizontal="left" vertical="center" wrapText="1"/>
      <protection locked="0"/>
    </xf>
    <xf numFmtId="3" fontId="31" fillId="0" borderId="12" xfId="0" applyNumberFormat="1" applyFont="1" applyBorder="1" applyAlignment="1">
      <alignment horizontal="right" vertical="center" wrapText="1"/>
    </xf>
    <xf numFmtId="0" fontId="26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3" fontId="34" fillId="26" borderId="12" xfId="95" applyNumberFormat="1" applyFont="1" applyFill="1" applyBorder="1" applyAlignment="1">
      <alignment horizontal="right" vertical="center"/>
      <protection/>
    </xf>
    <xf numFmtId="3" fontId="34" fillId="0" borderId="12" xfId="95" applyNumberFormat="1" applyFont="1" applyBorder="1" applyAlignment="1">
      <alignment horizontal="right" vertical="center"/>
      <protection/>
    </xf>
    <xf numFmtId="0" fontId="25" fillId="0" borderId="12" xfId="0" applyFont="1" applyBorder="1" applyAlignment="1">
      <alignment horizontal="justify" wrapText="1"/>
    </xf>
    <xf numFmtId="49" fontId="31" fillId="0" borderId="12" xfId="0" applyNumberFormat="1" applyFont="1" applyBorder="1" applyAlignment="1" applyProtection="1">
      <alignment vertical="center" wrapText="1"/>
      <protection locked="0"/>
    </xf>
    <xf numFmtId="0" fontId="31" fillId="26" borderId="12" xfId="0" applyFont="1" applyFill="1" applyBorder="1" applyAlignment="1">
      <alignment horizontal="center" vertical="center" wrapText="1"/>
    </xf>
    <xf numFmtId="49" fontId="31" fillId="26" borderId="12" xfId="0" applyNumberFormat="1" applyFont="1" applyFill="1" applyBorder="1" applyAlignment="1">
      <alignment horizontal="center" vertical="center" wrapText="1"/>
    </xf>
    <xf numFmtId="49" fontId="30" fillId="26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194" fontId="31" fillId="0" borderId="0" xfId="0" applyNumberFormat="1" applyFont="1" applyBorder="1" applyAlignment="1">
      <alignment vertical="justify"/>
    </xf>
    <xf numFmtId="3" fontId="30" fillId="0" borderId="0" xfId="95" applyNumberFormat="1" applyFont="1" applyBorder="1" applyAlignment="1">
      <alignment horizontal="right" vertical="center"/>
      <protection/>
    </xf>
    <xf numFmtId="3" fontId="30" fillId="0" borderId="0" xfId="0" applyNumberFormat="1" applyFont="1" applyBorder="1" applyAlignment="1">
      <alignment horizontal="right" vertic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view="pageBreakPreview" zoomScale="75" zoomScaleNormal="75" zoomScaleSheetLayoutView="75" zoomScalePageLayoutView="0" workbookViewId="0" topLeftCell="B1">
      <selection activeCell="G7" sqref="G7"/>
    </sheetView>
  </sheetViews>
  <sheetFormatPr defaultColWidth="9.16015625" defaultRowHeight="12.75"/>
  <cols>
    <col min="1" max="1" width="3.83203125" style="3" hidden="1" customWidth="1"/>
    <col min="2" max="2" width="18.33203125" style="13" customWidth="1"/>
    <col min="3" max="3" width="18.5" style="13" customWidth="1"/>
    <col min="4" max="4" width="21.66015625" style="13" customWidth="1"/>
    <col min="5" max="5" width="54" style="3" customWidth="1"/>
    <col min="6" max="6" width="45" style="3" customWidth="1"/>
    <col min="7" max="10" width="21.16015625" style="3" customWidth="1"/>
    <col min="11" max="11" width="4.33203125" style="2" customWidth="1"/>
    <col min="12" max="16384" width="9.16015625" style="2" customWidth="1"/>
  </cols>
  <sheetData>
    <row r="1" spans="1:10" s="7" customFormat="1" ht="13.5" customHeight="1">
      <c r="A1" s="6"/>
      <c r="B1" s="98"/>
      <c r="C1" s="98"/>
      <c r="D1" s="98"/>
      <c r="E1" s="98"/>
      <c r="F1" s="98"/>
      <c r="G1" s="98"/>
      <c r="H1" s="98"/>
      <c r="I1" s="98"/>
      <c r="J1" s="98"/>
    </row>
    <row r="2" spans="7:10" ht="90.75" customHeight="1">
      <c r="G2" s="99" t="s">
        <v>187</v>
      </c>
      <c r="H2" s="99"/>
      <c r="I2" s="99"/>
      <c r="J2" s="99"/>
    </row>
    <row r="3" spans="1:10" ht="19.5" customHeight="1">
      <c r="A3" s="1"/>
      <c r="B3" s="58">
        <v>20538000000</v>
      </c>
      <c r="C3" s="95" t="s">
        <v>70</v>
      </c>
      <c r="D3" s="95"/>
      <c r="E3" s="95"/>
      <c r="F3" s="95"/>
      <c r="G3" s="95"/>
      <c r="H3" s="95"/>
      <c r="I3" s="95"/>
      <c r="J3" s="95"/>
    </row>
    <row r="4" spans="2:10" ht="18.75">
      <c r="B4" s="59" t="s">
        <v>64</v>
      </c>
      <c r="C4" s="43"/>
      <c r="D4" s="43"/>
      <c r="E4" s="17"/>
      <c r="F4" s="17"/>
      <c r="G4" s="17"/>
      <c r="H4" s="18"/>
      <c r="I4" s="18"/>
      <c r="J4" s="44" t="s">
        <v>69</v>
      </c>
    </row>
    <row r="5" spans="2:10" ht="15.75">
      <c r="B5" s="101" t="s">
        <v>66</v>
      </c>
      <c r="C5" s="101" t="s">
        <v>67</v>
      </c>
      <c r="D5" s="101" t="s">
        <v>50</v>
      </c>
      <c r="E5" s="101" t="s">
        <v>68</v>
      </c>
      <c r="F5" s="103" t="s">
        <v>51</v>
      </c>
      <c r="G5" s="101" t="s">
        <v>52</v>
      </c>
      <c r="H5" s="103" t="s">
        <v>0</v>
      </c>
      <c r="I5" s="104" t="s">
        <v>1</v>
      </c>
      <c r="J5" s="102"/>
    </row>
    <row r="6" spans="1:10" ht="111" customHeight="1">
      <c r="A6" s="16"/>
      <c r="B6" s="102"/>
      <c r="C6" s="102"/>
      <c r="D6" s="102"/>
      <c r="E6" s="102"/>
      <c r="F6" s="102"/>
      <c r="G6" s="102"/>
      <c r="H6" s="102"/>
      <c r="I6" s="50" t="s">
        <v>53</v>
      </c>
      <c r="J6" s="50" t="s">
        <v>54</v>
      </c>
    </row>
    <row r="7" spans="1:10" ht="50.25" customHeight="1">
      <c r="A7" s="16"/>
      <c r="B7" s="51"/>
      <c r="C7" s="51"/>
      <c r="D7" s="51"/>
      <c r="E7" s="51"/>
      <c r="F7" s="68" t="s">
        <v>72</v>
      </c>
      <c r="G7" s="45">
        <f>SUM(H7+I7)</f>
        <v>11494108</v>
      </c>
      <c r="H7" s="45">
        <f>SUM(H8)</f>
        <v>11090220</v>
      </c>
      <c r="I7" s="46">
        <f>I8</f>
        <v>403888</v>
      </c>
      <c r="J7" s="46">
        <f>J8</f>
        <v>352600</v>
      </c>
    </row>
    <row r="8" spans="1:10" s="5" customFormat="1" ht="27.75" customHeight="1">
      <c r="A8" s="4"/>
      <c r="B8" s="20" t="s">
        <v>41</v>
      </c>
      <c r="C8" s="24"/>
      <c r="D8" s="20"/>
      <c r="E8" s="25" t="s">
        <v>71</v>
      </c>
      <c r="F8" s="52"/>
      <c r="G8" s="45">
        <f>SUM(H8+I8)</f>
        <v>11494108</v>
      </c>
      <c r="H8" s="45">
        <f>SUM(H9)</f>
        <v>11090220</v>
      </c>
      <c r="I8" s="45">
        <f>I9</f>
        <v>403888</v>
      </c>
      <c r="J8" s="45">
        <f>J9</f>
        <v>352600</v>
      </c>
    </row>
    <row r="9" spans="2:10" ht="28.5" customHeight="1">
      <c r="B9" s="20" t="s">
        <v>42</v>
      </c>
      <c r="C9" s="24"/>
      <c r="D9" s="20"/>
      <c r="E9" s="25" t="s">
        <v>73</v>
      </c>
      <c r="F9" s="53"/>
      <c r="G9" s="45">
        <f>SUM(H9+I9)</f>
        <v>11494108</v>
      </c>
      <c r="H9" s="45">
        <f>SUM(H10+H11+H12)</f>
        <v>11090220</v>
      </c>
      <c r="I9" s="45">
        <f>SUM(I10:I12)</f>
        <v>403888</v>
      </c>
      <c r="J9" s="45">
        <f>SUM(J10:J12)</f>
        <v>352600</v>
      </c>
    </row>
    <row r="10" spans="2:10" ht="30">
      <c r="B10" s="20" t="s">
        <v>90</v>
      </c>
      <c r="C10" s="21">
        <v>2010</v>
      </c>
      <c r="D10" s="22" t="s">
        <v>3</v>
      </c>
      <c r="E10" s="23" t="s">
        <v>4</v>
      </c>
      <c r="F10" s="53"/>
      <c r="G10" s="47">
        <f>SUM(H10:I10)</f>
        <v>6489552</v>
      </c>
      <c r="H10" s="47">
        <f>5332750+199900+86162+16600+11000+2250+4500+9000+21600+76720+14217+38264+36000+20201+250000-8988+30888</f>
        <v>6141064</v>
      </c>
      <c r="I10" s="47">
        <f>250000+49200-2000+8988+42300</f>
        <v>348488</v>
      </c>
      <c r="J10" s="74">
        <f>250000+49200-2000</f>
        <v>297200</v>
      </c>
    </row>
    <row r="11" spans="2:10" ht="45">
      <c r="B11" s="20" t="s">
        <v>91</v>
      </c>
      <c r="C11" s="21">
        <v>2111</v>
      </c>
      <c r="D11" s="22" t="s">
        <v>40</v>
      </c>
      <c r="E11" s="41" t="s">
        <v>89</v>
      </c>
      <c r="F11" s="55"/>
      <c r="G11" s="47">
        <f>SUM(H11:I11)</f>
        <v>4838456</v>
      </c>
      <c r="H11" s="47">
        <f>2530000+712637+345824-1000+12400+9000+49858+49799+49830+49896+49844+49895+49865+49861+45037+41492+49900+21552+7712+150000+108300+150000+151334-17847-7712-108300-87844+185000+375968-11000-16985+100000+47600-408860</f>
        <v>4783056</v>
      </c>
      <c r="I11" s="47">
        <f>36400+19000</f>
        <v>55400</v>
      </c>
      <c r="J11" s="74">
        <f>36400+19000</f>
        <v>55400</v>
      </c>
    </row>
    <row r="12" spans="2:10" ht="30">
      <c r="B12" s="20" t="s">
        <v>92</v>
      </c>
      <c r="C12" s="21">
        <v>2145</v>
      </c>
      <c r="D12" s="22" t="s">
        <v>47</v>
      </c>
      <c r="E12" s="23" t="s">
        <v>48</v>
      </c>
      <c r="F12" s="55"/>
      <c r="G12" s="47">
        <f>SUM(H12:I12)</f>
        <v>166100</v>
      </c>
      <c r="H12" s="47">
        <f>170000+24000+13800+11000-52700</f>
        <v>166100</v>
      </c>
      <c r="I12" s="47"/>
      <c r="J12" s="46"/>
    </row>
    <row r="13" spans="2:10" ht="43.5" customHeight="1">
      <c r="B13" s="8"/>
      <c r="C13" s="10"/>
      <c r="D13" s="15"/>
      <c r="E13" s="11"/>
      <c r="F13" s="65" t="s">
        <v>123</v>
      </c>
      <c r="G13" s="45">
        <f aca="true" t="shared" si="0" ref="G13:H15">SUM(G14)</f>
        <v>44920</v>
      </c>
      <c r="H13" s="45">
        <f t="shared" si="0"/>
        <v>44920</v>
      </c>
      <c r="I13" s="45"/>
      <c r="J13" s="45"/>
    </row>
    <row r="14" spans="2:10" ht="44.25">
      <c r="B14" s="20" t="s">
        <v>58</v>
      </c>
      <c r="C14" s="24"/>
      <c r="D14" s="20"/>
      <c r="E14" s="60" t="s">
        <v>109</v>
      </c>
      <c r="F14" s="26"/>
      <c r="G14" s="45">
        <f t="shared" si="0"/>
        <v>44920</v>
      </c>
      <c r="H14" s="45">
        <f t="shared" si="0"/>
        <v>44920</v>
      </c>
      <c r="I14" s="45"/>
      <c r="J14" s="45"/>
    </row>
    <row r="15" spans="2:10" ht="44.25">
      <c r="B15" s="20" t="s">
        <v>59</v>
      </c>
      <c r="C15" s="24"/>
      <c r="D15" s="20"/>
      <c r="E15" s="60" t="s">
        <v>110</v>
      </c>
      <c r="F15" s="26"/>
      <c r="G15" s="45">
        <f t="shared" si="0"/>
        <v>44920</v>
      </c>
      <c r="H15" s="45">
        <f>SUM(H16)</f>
        <v>44920</v>
      </c>
      <c r="I15" s="45"/>
      <c r="J15" s="45"/>
    </row>
    <row r="16" spans="2:10" ht="45">
      <c r="B16" s="20" t="s">
        <v>63</v>
      </c>
      <c r="C16" s="21">
        <v>3131</v>
      </c>
      <c r="D16" s="22" t="s">
        <v>5</v>
      </c>
      <c r="E16" s="23" t="s">
        <v>21</v>
      </c>
      <c r="F16" s="54"/>
      <c r="G16" s="47">
        <f>SUM(H16:I16)</f>
        <v>44920</v>
      </c>
      <c r="H16" s="47">
        <f>131400-19000-25000-42480</f>
        <v>44920</v>
      </c>
      <c r="I16" s="47"/>
      <c r="J16" s="45"/>
    </row>
    <row r="17" spans="2:10" ht="42.75">
      <c r="B17" s="8"/>
      <c r="C17" s="10"/>
      <c r="D17" s="15"/>
      <c r="E17" s="12"/>
      <c r="F17" s="65" t="s">
        <v>169</v>
      </c>
      <c r="G17" s="45">
        <f>SUM(H17:I17)</f>
        <v>300664</v>
      </c>
      <c r="H17" s="45">
        <f>SUM(H18)</f>
        <v>300664</v>
      </c>
      <c r="I17" s="45"/>
      <c r="J17" s="45"/>
    </row>
    <row r="18" spans="2:10" ht="44.25">
      <c r="B18" s="32" t="s">
        <v>22</v>
      </c>
      <c r="C18" s="21"/>
      <c r="D18" s="22"/>
      <c r="E18" s="33" t="s">
        <v>80</v>
      </c>
      <c r="F18" s="26"/>
      <c r="G18" s="45">
        <f>SUM(H18:I18)</f>
        <v>300664</v>
      </c>
      <c r="H18" s="45">
        <f>SUM(H19)</f>
        <v>300664</v>
      </c>
      <c r="I18" s="45"/>
      <c r="J18" s="45"/>
    </row>
    <row r="19" spans="2:10" ht="44.25">
      <c r="B19" s="32" t="s">
        <v>30</v>
      </c>
      <c r="C19" s="21"/>
      <c r="D19" s="22"/>
      <c r="E19" s="34" t="s">
        <v>81</v>
      </c>
      <c r="F19" s="53"/>
      <c r="G19" s="45">
        <f>SUM(H19:I19)</f>
        <v>300664</v>
      </c>
      <c r="H19" s="45">
        <f>SUM(H20)</f>
        <v>300664</v>
      </c>
      <c r="I19" s="45"/>
      <c r="J19" s="45"/>
    </row>
    <row r="20" spans="2:10" ht="75.75" customHeight="1">
      <c r="B20" s="20" t="s">
        <v>175</v>
      </c>
      <c r="C20" s="21">
        <v>3140</v>
      </c>
      <c r="D20" s="22" t="s">
        <v>5</v>
      </c>
      <c r="E20" s="27" t="s">
        <v>6</v>
      </c>
      <c r="F20" s="54"/>
      <c r="G20" s="47">
        <f>SUM(H20:I20)</f>
        <v>300664</v>
      </c>
      <c r="H20" s="47">
        <f>199920+100744</f>
        <v>300664</v>
      </c>
      <c r="I20" s="47"/>
      <c r="J20" s="45"/>
    </row>
    <row r="21" spans="2:10" ht="42.75">
      <c r="B21" s="8"/>
      <c r="C21" s="10"/>
      <c r="D21" s="15"/>
      <c r="E21" s="12"/>
      <c r="F21" s="65" t="s">
        <v>82</v>
      </c>
      <c r="G21" s="45">
        <f>SUM(G22+G28)</f>
        <v>3759943</v>
      </c>
      <c r="H21" s="45">
        <f>SUM(H22+H28)</f>
        <v>3759943</v>
      </c>
      <c r="I21" s="45"/>
      <c r="J21" s="45"/>
    </row>
    <row r="22" spans="2:10" ht="44.25">
      <c r="B22" s="32" t="s">
        <v>22</v>
      </c>
      <c r="C22" s="21"/>
      <c r="D22" s="22"/>
      <c r="E22" s="33" t="s">
        <v>80</v>
      </c>
      <c r="F22" s="53"/>
      <c r="G22" s="45">
        <f>SUM(G23)</f>
        <v>3759943</v>
      </c>
      <c r="H22" s="45">
        <f>SUM(H23)</f>
        <v>3759943</v>
      </c>
      <c r="I22" s="45"/>
      <c r="J22" s="45"/>
    </row>
    <row r="23" spans="2:10" ht="44.25">
      <c r="B23" s="32" t="s">
        <v>30</v>
      </c>
      <c r="C23" s="21"/>
      <c r="D23" s="22"/>
      <c r="E23" s="34" t="s">
        <v>81</v>
      </c>
      <c r="F23" s="53"/>
      <c r="G23" s="45">
        <f aca="true" t="shared" si="1" ref="G23:G31">SUM(H23:I23)</f>
        <v>3759943</v>
      </c>
      <c r="H23" s="45">
        <f>SUM(H24:H31)</f>
        <v>3759943</v>
      </c>
      <c r="I23" s="45"/>
      <c r="J23" s="45"/>
    </row>
    <row r="24" spans="2:10" ht="38.25" customHeight="1">
      <c r="B24" s="20" t="s">
        <v>44</v>
      </c>
      <c r="C24" s="21">
        <v>3031</v>
      </c>
      <c r="D24" s="22" t="s">
        <v>7</v>
      </c>
      <c r="E24" s="38" t="s">
        <v>45</v>
      </c>
      <c r="F24" s="53"/>
      <c r="G24" s="47">
        <f t="shared" si="1"/>
        <v>5039</v>
      </c>
      <c r="H24" s="47">
        <f>18100-10000-3061</f>
        <v>5039</v>
      </c>
      <c r="I24" s="47"/>
      <c r="J24" s="47"/>
    </row>
    <row r="25" spans="2:10" ht="28.5" customHeight="1">
      <c r="B25" s="20" t="s">
        <v>23</v>
      </c>
      <c r="C25" s="21">
        <v>3032</v>
      </c>
      <c r="D25" s="22" t="s">
        <v>12</v>
      </c>
      <c r="E25" s="40" t="s">
        <v>24</v>
      </c>
      <c r="F25" s="53"/>
      <c r="G25" s="47">
        <f t="shared" si="1"/>
        <v>69868</v>
      </c>
      <c r="H25" s="47">
        <f>100000-29000-1132</f>
        <v>69868</v>
      </c>
      <c r="I25" s="47"/>
      <c r="J25" s="45"/>
    </row>
    <row r="26" spans="2:10" ht="90" customHeight="1">
      <c r="B26" s="20" t="s">
        <v>55</v>
      </c>
      <c r="C26" s="21">
        <v>3160</v>
      </c>
      <c r="D26" s="22" t="s">
        <v>56</v>
      </c>
      <c r="E26" s="35" t="s">
        <v>57</v>
      </c>
      <c r="F26" s="53"/>
      <c r="G26" s="47">
        <f t="shared" si="1"/>
        <v>692144</v>
      </c>
      <c r="H26" s="47">
        <f>123000+250000+343530-24386</f>
        <v>692144</v>
      </c>
      <c r="I26" s="47"/>
      <c r="J26" s="45"/>
    </row>
    <row r="27" spans="2:10" ht="28.5" customHeight="1">
      <c r="B27" s="20" t="s">
        <v>28</v>
      </c>
      <c r="C27" s="21">
        <v>3242</v>
      </c>
      <c r="D27" s="22" t="s">
        <v>14</v>
      </c>
      <c r="E27" s="39" t="s">
        <v>29</v>
      </c>
      <c r="F27" s="54"/>
      <c r="G27" s="47">
        <f t="shared" si="1"/>
        <v>2974258</v>
      </c>
      <c r="H27" s="47">
        <f>1610000+50000-50000+849720+84700+26480+24786+300000+3135+92016-46200+45910-15648-641</f>
        <v>2974258</v>
      </c>
      <c r="I27" s="47"/>
      <c r="J27" s="45"/>
    </row>
    <row r="28" spans="2:10" ht="21.75" customHeight="1" hidden="1">
      <c r="B28" s="20" t="s">
        <v>41</v>
      </c>
      <c r="C28" s="24"/>
      <c r="D28" s="20"/>
      <c r="E28" s="25" t="s">
        <v>71</v>
      </c>
      <c r="F28" s="54"/>
      <c r="G28" s="47">
        <f t="shared" si="1"/>
        <v>0</v>
      </c>
      <c r="H28" s="45">
        <f>H29</f>
        <v>0</v>
      </c>
      <c r="I28" s="47"/>
      <c r="J28" s="45"/>
    </row>
    <row r="29" spans="2:10" ht="28.5" customHeight="1" hidden="1">
      <c r="B29" s="20" t="s">
        <v>42</v>
      </c>
      <c r="C29" s="24"/>
      <c r="D29" s="20"/>
      <c r="E29" s="25" t="s">
        <v>73</v>
      </c>
      <c r="F29" s="54"/>
      <c r="G29" s="47">
        <f t="shared" si="1"/>
        <v>0</v>
      </c>
      <c r="H29" s="45">
        <f>H30</f>
        <v>0</v>
      </c>
      <c r="I29" s="47"/>
      <c r="J29" s="45"/>
    </row>
    <row r="30" spans="2:10" ht="28.5" customHeight="1" hidden="1">
      <c r="B30" s="20" t="s">
        <v>156</v>
      </c>
      <c r="C30" s="21">
        <v>3242</v>
      </c>
      <c r="D30" s="22" t="s">
        <v>14</v>
      </c>
      <c r="E30" s="39" t="s">
        <v>29</v>
      </c>
      <c r="F30" s="54"/>
      <c r="G30" s="47">
        <f t="shared" si="1"/>
        <v>0</v>
      </c>
      <c r="H30" s="47">
        <f>50000-50000</f>
        <v>0</v>
      </c>
      <c r="I30" s="47"/>
      <c r="J30" s="45"/>
    </row>
    <row r="31" spans="2:10" ht="28.5" customHeight="1">
      <c r="B31" s="20" t="s">
        <v>186</v>
      </c>
      <c r="C31" s="21">
        <v>7370</v>
      </c>
      <c r="D31" s="22" t="s">
        <v>16</v>
      </c>
      <c r="E31" s="31" t="s">
        <v>140</v>
      </c>
      <c r="F31" s="54"/>
      <c r="G31" s="47">
        <f t="shared" si="1"/>
        <v>18634</v>
      </c>
      <c r="H31" s="47">
        <f>2916+70+15648</f>
        <v>18634</v>
      </c>
      <c r="I31" s="47"/>
      <c r="J31" s="45"/>
    </row>
    <row r="32" spans="2:10" ht="74.25" customHeight="1">
      <c r="B32" s="20"/>
      <c r="C32" s="21"/>
      <c r="D32" s="22"/>
      <c r="E32" s="40"/>
      <c r="F32" s="68" t="s">
        <v>124</v>
      </c>
      <c r="G32" s="45">
        <f aca="true" t="shared" si="2" ref="G32:H34">SUM(G33)</f>
        <v>3850979</v>
      </c>
      <c r="H32" s="45">
        <f t="shared" si="2"/>
        <v>3850979</v>
      </c>
      <c r="I32" s="45"/>
      <c r="J32" s="45"/>
    </row>
    <row r="33" spans="2:10" ht="42.75" customHeight="1">
      <c r="B33" s="32" t="s">
        <v>22</v>
      </c>
      <c r="C33" s="21"/>
      <c r="D33" s="22"/>
      <c r="E33" s="33" t="s">
        <v>80</v>
      </c>
      <c r="F33" s="53"/>
      <c r="G33" s="45">
        <f t="shared" si="2"/>
        <v>3850979</v>
      </c>
      <c r="H33" s="45">
        <f t="shared" si="2"/>
        <v>3850979</v>
      </c>
      <c r="I33" s="45"/>
      <c r="J33" s="45"/>
    </row>
    <row r="34" spans="2:10" ht="43.5" customHeight="1">
      <c r="B34" s="32" t="s">
        <v>30</v>
      </c>
      <c r="C34" s="21"/>
      <c r="D34" s="22"/>
      <c r="E34" s="34" t="s">
        <v>81</v>
      </c>
      <c r="F34" s="53"/>
      <c r="G34" s="45">
        <f t="shared" si="2"/>
        <v>3850979</v>
      </c>
      <c r="H34" s="45">
        <f>SUM(H35)</f>
        <v>3850979</v>
      </c>
      <c r="I34" s="45"/>
      <c r="J34" s="45"/>
    </row>
    <row r="35" spans="2:10" ht="47.25" customHeight="1">
      <c r="B35" s="20" t="s">
        <v>25</v>
      </c>
      <c r="C35" s="21">
        <v>3033</v>
      </c>
      <c r="D35" s="22" t="s">
        <v>12</v>
      </c>
      <c r="E35" s="42" t="s">
        <v>13</v>
      </c>
      <c r="F35" s="53"/>
      <c r="G35" s="47">
        <f>SUM(H35:I35)</f>
        <v>3850979</v>
      </c>
      <c r="H35" s="47">
        <f>4000000-90000-7189-45910-5922</f>
        <v>3850979</v>
      </c>
      <c r="I35" s="47"/>
      <c r="J35" s="45"/>
    </row>
    <row r="36" spans="2:10" ht="70.5" customHeight="1">
      <c r="B36" s="20"/>
      <c r="C36" s="21"/>
      <c r="D36" s="22"/>
      <c r="E36" s="42"/>
      <c r="F36" s="68" t="s">
        <v>125</v>
      </c>
      <c r="G36" s="45">
        <f aca="true" t="shared" si="3" ref="G36:H38">SUM(G37)</f>
        <v>400000</v>
      </c>
      <c r="H36" s="45">
        <f t="shared" si="3"/>
        <v>400000</v>
      </c>
      <c r="I36" s="45"/>
      <c r="J36" s="45"/>
    </row>
    <row r="37" spans="2:10" ht="43.5" customHeight="1">
      <c r="B37" s="32" t="s">
        <v>22</v>
      </c>
      <c r="C37" s="21"/>
      <c r="D37" s="22"/>
      <c r="E37" s="33" t="s">
        <v>80</v>
      </c>
      <c r="F37" s="53"/>
      <c r="G37" s="45">
        <f t="shared" si="3"/>
        <v>400000</v>
      </c>
      <c r="H37" s="45">
        <f t="shared" si="3"/>
        <v>400000</v>
      </c>
      <c r="I37" s="45"/>
      <c r="J37" s="45"/>
    </row>
    <row r="38" spans="2:10" ht="44.25" customHeight="1">
      <c r="B38" s="32" t="s">
        <v>30</v>
      </c>
      <c r="C38" s="21"/>
      <c r="D38" s="22"/>
      <c r="E38" s="34" t="s">
        <v>81</v>
      </c>
      <c r="F38" s="53"/>
      <c r="G38" s="45">
        <f t="shared" si="3"/>
        <v>400000</v>
      </c>
      <c r="H38" s="45">
        <f>SUM(H39)</f>
        <v>400000</v>
      </c>
      <c r="I38" s="45"/>
      <c r="J38" s="45"/>
    </row>
    <row r="39" spans="2:10" ht="39" customHeight="1">
      <c r="B39" s="20" t="s">
        <v>26</v>
      </c>
      <c r="C39" s="21">
        <v>3035</v>
      </c>
      <c r="D39" s="22" t="s">
        <v>12</v>
      </c>
      <c r="E39" s="39" t="s">
        <v>27</v>
      </c>
      <c r="F39" s="53"/>
      <c r="G39" s="47">
        <f>SUM(H39:I39)</f>
        <v>400000</v>
      </c>
      <c r="H39" s="47">
        <v>400000</v>
      </c>
      <c r="I39" s="47"/>
      <c r="J39" s="47"/>
    </row>
    <row r="40" spans="2:10" ht="45" customHeight="1">
      <c r="B40" s="32"/>
      <c r="C40" s="21"/>
      <c r="D40" s="22"/>
      <c r="E40" s="34"/>
      <c r="F40" s="69" t="s">
        <v>126</v>
      </c>
      <c r="G40" s="45">
        <f>SUM(G41)</f>
        <v>23960858</v>
      </c>
      <c r="H40" s="45">
        <f>SUM(H41)</f>
        <v>14441152</v>
      </c>
      <c r="I40" s="45">
        <f>I41</f>
        <v>9519706</v>
      </c>
      <c r="J40" s="45">
        <f>J41</f>
        <v>2036167</v>
      </c>
    </row>
    <row r="41" spans="2:10" ht="15">
      <c r="B41" s="20" t="s">
        <v>41</v>
      </c>
      <c r="C41" s="24"/>
      <c r="D41" s="20"/>
      <c r="E41" s="25" t="s">
        <v>71</v>
      </c>
      <c r="F41" s="53"/>
      <c r="G41" s="45">
        <f>SUM(G42)</f>
        <v>23960858</v>
      </c>
      <c r="H41" s="45">
        <f>SUM(H42)</f>
        <v>14441152</v>
      </c>
      <c r="I41" s="45">
        <f>I42</f>
        <v>9519706</v>
      </c>
      <c r="J41" s="45">
        <f>J42</f>
        <v>2036167</v>
      </c>
    </row>
    <row r="42" spans="2:10" ht="26.25" customHeight="1">
      <c r="B42" s="20" t="s">
        <v>42</v>
      </c>
      <c r="C42" s="24"/>
      <c r="D42" s="20"/>
      <c r="E42" s="25" t="s">
        <v>73</v>
      </c>
      <c r="F42" s="53"/>
      <c r="G42" s="45">
        <f>SUM(G43:G50)</f>
        <v>23960858</v>
      </c>
      <c r="H42" s="45">
        <f>SUM(H43:H49)</f>
        <v>14441152</v>
      </c>
      <c r="I42" s="45">
        <f>SUM(I44:I50)</f>
        <v>9519706</v>
      </c>
      <c r="J42" s="45">
        <f>SUM(J44:J49)</f>
        <v>2036167</v>
      </c>
    </row>
    <row r="43" spans="2:10" ht="25.5" customHeight="1">
      <c r="B43" s="20" t="s">
        <v>161</v>
      </c>
      <c r="C43" s="21">
        <v>6012</v>
      </c>
      <c r="D43" s="22" t="s">
        <v>43</v>
      </c>
      <c r="E43" s="31" t="s">
        <v>171</v>
      </c>
      <c r="F43" s="53"/>
      <c r="G43" s="47">
        <f>H43+I43</f>
        <v>2595739</v>
      </c>
      <c r="H43" s="47">
        <f>310000+25008+34008+49454+18029+53715+54000+16610+168191+3925+34149+756000+756000+32041+116418+168191</f>
        <v>2595739</v>
      </c>
      <c r="I43" s="45"/>
      <c r="J43" s="45"/>
    </row>
    <row r="44" spans="2:10" ht="54.75" customHeight="1">
      <c r="B44" s="20" t="s">
        <v>133</v>
      </c>
      <c r="C44" s="21">
        <v>6020</v>
      </c>
      <c r="D44" s="22" t="s">
        <v>43</v>
      </c>
      <c r="E44" s="23" t="s">
        <v>134</v>
      </c>
      <c r="F44" s="53"/>
      <c r="G44" s="47">
        <f>H44+I44</f>
        <v>1415056</v>
      </c>
      <c r="H44" s="47">
        <f>300000+49900+47800+48700+49500+47400+20345+46800+49200+230000+300000+100000+46001</f>
        <v>1335646</v>
      </c>
      <c r="I44" s="47">
        <v>79410</v>
      </c>
      <c r="J44" s="47">
        <v>79410</v>
      </c>
    </row>
    <row r="45" spans="2:10" ht="15">
      <c r="B45" s="20" t="s">
        <v>84</v>
      </c>
      <c r="C45" s="21">
        <v>6030</v>
      </c>
      <c r="D45" s="22" t="s">
        <v>43</v>
      </c>
      <c r="E45" s="40" t="s">
        <v>85</v>
      </c>
      <c r="F45" s="54"/>
      <c r="G45" s="47">
        <f aca="true" t="shared" si="4" ref="G45:G50">SUM(H45:I45)</f>
        <v>8801475</v>
      </c>
      <c r="H45" s="47">
        <f>8477023-1540000+1540000+49920+800000+500000+49500+2400+791400+748691-120500+49920-50000+3600+9500-36000+5956-66000-45000-34400-16091-36400-500000-60000+49900-81941-199900-354900-234007-107000-487525-67316-300000-49900+28328-96200-96200+6700+225+2647-37515-180000-306358+49000+49929+71+48929-1676-5067+20765+12706+599200-18796</f>
        <v>8767618</v>
      </c>
      <c r="I45" s="47">
        <v>33857</v>
      </c>
      <c r="J45" s="47">
        <v>33857</v>
      </c>
    </row>
    <row r="46" spans="2:10" ht="27.75" customHeight="1">
      <c r="B46" s="20" t="s">
        <v>86</v>
      </c>
      <c r="C46" s="21">
        <v>6090</v>
      </c>
      <c r="D46" s="22" t="s">
        <v>38</v>
      </c>
      <c r="E46" s="40" t="s">
        <v>39</v>
      </c>
      <c r="F46" s="54"/>
      <c r="G46" s="47">
        <f t="shared" si="4"/>
        <v>203628</v>
      </c>
      <c r="H46" s="47">
        <f>371672+117066+25758-50000-10998-79670-79410-5956-63291-21362-146-35</f>
        <v>203628</v>
      </c>
      <c r="I46" s="47"/>
      <c r="J46" s="45"/>
    </row>
    <row r="47" spans="2:10" ht="27" customHeight="1">
      <c r="B47" s="20" t="s">
        <v>154</v>
      </c>
      <c r="C47" s="21">
        <v>7310</v>
      </c>
      <c r="D47" s="22" t="s">
        <v>129</v>
      </c>
      <c r="E47" s="38" t="s">
        <v>155</v>
      </c>
      <c r="F47" s="54"/>
      <c r="G47" s="47">
        <f t="shared" si="4"/>
        <v>570500</v>
      </c>
      <c r="H47" s="47"/>
      <c r="I47" s="47">
        <f>120500+200000+250000</f>
        <v>570500</v>
      </c>
      <c r="J47" s="47">
        <f>120500+200000+250000</f>
        <v>570500</v>
      </c>
    </row>
    <row r="48" spans="2:10" ht="26.25" customHeight="1">
      <c r="B48" s="20" t="s">
        <v>159</v>
      </c>
      <c r="C48" s="21">
        <v>7370</v>
      </c>
      <c r="D48" s="22" t="s">
        <v>16</v>
      </c>
      <c r="E48" s="31" t="s">
        <v>140</v>
      </c>
      <c r="F48" s="54"/>
      <c r="G48" s="47">
        <f t="shared" si="4"/>
        <v>12517</v>
      </c>
      <c r="H48" s="47">
        <f>28328+599200-28328+12517-599200</f>
        <v>12517</v>
      </c>
      <c r="I48" s="47"/>
      <c r="J48" s="47"/>
    </row>
    <row r="49" spans="2:10" ht="45">
      <c r="B49" s="20" t="s">
        <v>87</v>
      </c>
      <c r="C49" s="21">
        <v>7461</v>
      </c>
      <c r="D49" s="22" t="s">
        <v>49</v>
      </c>
      <c r="E49" s="40" t="s">
        <v>88</v>
      </c>
      <c r="F49" s="54"/>
      <c r="G49" s="47">
        <f t="shared" si="4"/>
        <v>2878404</v>
      </c>
      <c r="H49" s="47">
        <f>26004+3000000-1500000+19000+19000-19000-19000</f>
        <v>1526004</v>
      </c>
      <c r="I49" s="47">
        <f>50000+500000+48700+48700+10000+107000+19000+19000+70000+500000+89000-20000-89000</f>
        <v>1352400</v>
      </c>
      <c r="J49" s="47">
        <f>50000+500000+48700+48700+10000+107000+19000+19000+70000+500000+89000-20000-89000</f>
        <v>1352400</v>
      </c>
    </row>
    <row r="50" spans="2:10" ht="45">
      <c r="B50" s="20" t="s">
        <v>184</v>
      </c>
      <c r="C50" s="21">
        <v>7462</v>
      </c>
      <c r="D50" s="22" t="s">
        <v>49</v>
      </c>
      <c r="E50" s="40" t="s">
        <v>185</v>
      </c>
      <c r="F50" s="54"/>
      <c r="G50" s="47">
        <f t="shared" si="4"/>
        <v>7483539</v>
      </c>
      <c r="H50" s="47"/>
      <c r="I50" s="47">
        <v>7483539</v>
      </c>
      <c r="J50" s="47"/>
    </row>
    <row r="51" spans="2:10" ht="85.5">
      <c r="B51" s="8"/>
      <c r="C51" s="10"/>
      <c r="D51" s="15"/>
      <c r="E51" s="12"/>
      <c r="F51" s="65" t="s">
        <v>113</v>
      </c>
      <c r="G51" s="45">
        <f>SUM(G52)</f>
        <v>8403872</v>
      </c>
      <c r="H51" s="45">
        <f>SUM(H52)</f>
        <v>8297052</v>
      </c>
      <c r="I51" s="45">
        <f>I52</f>
        <v>106820</v>
      </c>
      <c r="J51" s="45">
        <f>J52</f>
        <v>106820</v>
      </c>
    </row>
    <row r="52" spans="2:10" ht="15">
      <c r="B52" s="20" t="s">
        <v>41</v>
      </c>
      <c r="C52" s="24"/>
      <c r="D52" s="20"/>
      <c r="E52" s="25" t="s">
        <v>71</v>
      </c>
      <c r="F52" s="70"/>
      <c r="G52" s="45">
        <f>SUM(G53)</f>
        <v>8403872</v>
      </c>
      <c r="H52" s="45">
        <f>SUM(H53)</f>
        <v>8297052</v>
      </c>
      <c r="I52" s="45">
        <f>I53</f>
        <v>106820</v>
      </c>
      <c r="J52" s="45">
        <f>J53</f>
        <v>106820</v>
      </c>
    </row>
    <row r="53" spans="2:10" ht="30">
      <c r="B53" s="20" t="s">
        <v>42</v>
      </c>
      <c r="C53" s="24"/>
      <c r="D53" s="20"/>
      <c r="E53" s="25" t="s">
        <v>111</v>
      </c>
      <c r="F53" s="70"/>
      <c r="G53" s="45">
        <f>SUM(G54+G56)</f>
        <v>8403872</v>
      </c>
      <c r="H53" s="45">
        <f>SUM(H54)</f>
        <v>8297052</v>
      </c>
      <c r="I53" s="45">
        <f>I54+I56</f>
        <v>106820</v>
      </c>
      <c r="J53" s="45">
        <f>J54+J56</f>
        <v>106820</v>
      </c>
    </row>
    <row r="54" spans="2:10" ht="30">
      <c r="B54" s="20" t="s">
        <v>86</v>
      </c>
      <c r="C54" s="21">
        <v>6090</v>
      </c>
      <c r="D54" s="22" t="s">
        <v>38</v>
      </c>
      <c r="E54" s="40" t="s">
        <v>39</v>
      </c>
      <c r="F54" s="54"/>
      <c r="G54" s="47">
        <f>SUM(H54:I54)</f>
        <v>8403872</v>
      </c>
      <c r="H54" s="47">
        <f>5458930+1172418+257932+39700+310000+1240+119900+228530+7000+100000+50000+10998+120000+44320+33000+199940+49900+4777+8000+7000+11160-8820+4800+33000-80000-45736-37800+38000-24334-25166+49000+6005+14680+199900-69685+2000+10453-12453+4500+2570+10815+80460+10948-138859+125736+24000-30000-2242-79465</f>
        <v>8297052</v>
      </c>
      <c r="I54" s="47">
        <f>48500+8820+24334+25166+20000-20000</f>
        <v>106820</v>
      </c>
      <c r="J54" s="47">
        <f>48500+8820+24334+25166+20000-20000</f>
        <v>106820</v>
      </c>
    </row>
    <row r="55" spans="2:10" ht="15" hidden="1">
      <c r="B55" s="20"/>
      <c r="C55" s="21"/>
      <c r="D55" s="22"/>
      <c r="E55" s="31"/>
      <c r="F55" s="54"/>
      <c r="G55" s="47">
        <f>SUM(H55:I55)</f>
        <v>0</v>
      </c>
      <c r="H55" s="47"/>
      <c r="I55" s="47"/>
      <c r="J55" s="47"/>
    </row>
    <row r="56" spans="2:10" ht="15" hidden="1">
      <c r="B56" s="85" t="s">
        <v>135</v>
      </c>
      <c r="C56" s="83">
        <v>7330</v>
      </c>
      <c r="D56" s="84" t="s">
        <v>129</v>
      </c>
      <c r="E56" s="86" t="s">
        <v>136</v>
      </c>
      <c r="F56" s="54"/>
      <c r="G56" s="47">
        <f>SUM(H56:I56)</f>
        <v>0</v>
      </c>
      <c r="H56" s="47"/>
      <c r="I56" s="47">
        <f>60868+64868-125736</f>
        <v>0</v>
      </c>
      <c r="J56" s="47">
        <f>60868+64868-125736</f>
        <v>0</v>
      </c>
    </row>
    <row r="57" spans="2:10" ht="46.5" customHeight="1">
      <c r="B57" s="8"/>
      <c r="C57" s="10"/>
      <c r="D57" s="15"/>
      <c r="E57" s="12"/>
      <c r="F57" s="65" t="s">
        <v>93</v>
      </c>
      <c r="G57" s="45">
        <f>SUM(G58)</f>
        <v>402521</v>
      </c>
      <c r="H57" s="45">
        <f>SUM(H58)</f>
        <v>402521</v>
      </c>
      <c r="I57" s="45"/>
      <c r="J57" s="45"/>
    </row>
    <row r="58" spans="2:10" ht="44.25">
      <c r="B58" s="20" t="s">
        <v>58</v>
      </c>
      <c r="C58" s="24"/>
      <c r="D58" s="20"/>
      <c r="E58" s="60" t="s">
        <v>109</v>
      </c>
      <c r="F58" s="71"/>
      <c r="G58" s="45">
        <f>SUM(G59)</f>
        <v>402521</v>
      </c>
      <c r="H58" s="45">
        <f>SUM(H59)</f>
        <v>402521</v>
      </c>
      <c r="I58" s="45"/>
      <c r="J58" s="45"/>
    </row>
    <row r="59" spans="2:10" ht="44.25">
      <c r="B59" s="20" t="s">
        <v>59</v>
      </c>
      <c r="C59" s="24"/>
      <c r="D59" s="20"/>
      <c r="E59" s="60" t="s">
        <v>112</v>
      </c>
      <c r="F59" s="71"/>
      <c r="G59" s="45">
        <f>SUM(G60:G63)</f>
        <v>402521</v>
      </c>
      <c r="H59" s="45">
        <f>SUM(H60:H63)</f>
        <v>402521</v>
      </c>
      <c r="I59" s="45"/>
      <c r="J59" s="45"/>
    </row>
    <row r="60" spans="2:10" ht="30">
      <c r="B60" s="20" t="s">
        <v>60</v>
      </c>
      <c r="C60" s="28">
        <v>5011</v>
      </c>
      <c r="D60" s="29" t="s">
        <v>8</v>
      </c>
      <c r="E60" s="61" t="s">
        <v>9</v>
      </c>
      <c r="F60" s="55"/>
      <c r="G60" s="47">
        <f>SUM(H60:I60)</f>
        <v>2400</v>
      </c>
      <c r="H60" s="47">
        <f>44800-17050-11000-14350</f>
        <v>2400</v>
      </c>
      <c r="I60" s="47"/>
      <c r="J60" s="45"/>
    </row>
    <row r="61" spans="2:10" ht="30">
      <c r="B61" s="20" t="s">
        <v>61</v>
      </c>
      <c r="C61" s="28">
        <v>5012</v>
      </c>
      <c r="D61" s="29" t="s">
        <v>8</v>
      </c>
      <c r="E61" s="61" t="s">
        <v>10</v>
      </c>
      <c r="F61" s="55"/>
      <c r="G61" s="47">
        <f>SUM(H61:I61)</f>
        <v>63190</v>
      </c>
      <c r="H61" s="47">
        <f>47200-11000+28000+11000-12010</f>
        <v>63190</v>
      </c>
      <c r="I61" s="47"/>
      <c r="J61" s="45"/>
    </row>
    <row r="62" spans="2:10" ht="45">
      <c r="B62" s="20" t="s">
        <v>62</v>
      </c>
      <c r="C62" s="21">
        <v>5032</v>
      </c>
      <c r="D62" s="22" t="s">
        <v>8</v>
      </c>
      <c r="E62" s="62" t="s">
        <v>11</v>
      </c>
      <c r="F62" s="55"/>
      <c r="G62" s="47">
        <f>SUM(H62:I62)</f>
        <v>336931</v>
      </c>
      <c r="H62" s="47">
        <v>336931</v>
      </c>
      <c r="I62" s="47"/>
      <c r="J62" s="45"/>
    </row>
    <row r="63" spans="2:10" ht="15" hidden="1">
      <c r="B63" s="20"/>
      <c r="C63" s="21"/>
      <c r="D63" s="22"/>
      <c r="E63" s="62"/>
      <c r="F63" s="55"/>
      <c r="G63" s="47"/>
      <c r="H63" s="47"/>
      <c r="I63" s="47"/>
      <c r="J63" s="45"/>
    </row>
    <row r="64" spans="2:10" ht="49.5" customHeight="1">
      <c r="B64" s="20"/>
      <c r="C64" s="21"/>
      <c r="D64" s="22"/>
      <c r="E64" s="30"/>
      <c r="F64" s="65" t="s">
        <v>74</v>
      </c>
      <c r="G64" s="48">
        <f>SUM(G65+G76)</f>
        <v>13405031</v>
      </c>
      <c r="H64" s="48">
        <f>SUM(H65)</f>
        <v>12090880</v>
      </c>
      <c r="I64" s="45">
        <f>I65+I76</f>
        <v>1314151</v>
      </c>
      <c r="J64" s="45">
        <f>J65+J76</f>
        <v>1314151</v>
      </c>
    </row>
    <row r="65" spans="2:10" ht="37.5" customHeight="1">
      <c r="B65" s="20" t="s">
        <v>31</v>
      </c>
      <c r="C65" s="21"/>
      <c r="D65" s="22"/>
      <c r="E65" s="25" t="s">
        <v>75</v>
      </c>
      <c r="F65" s="54"/>
      <c r="G65" s="48">
        <f>SUM(G66)</f>
        <v>12549491</v>
      </c>
      <c r="H65" s="48">
        <f>SUM(H66)</f>
        <v>12090880</v>
      </c>
      <c r="I65" s="45">
        <f>I66</f>
        <v>458611</v>
      </c>
      <c r="J65" s="45">
        <f>J66</f>
        <v>458611</v>
      </c>
    </row>
    <row r="66" spans="2:10" ht="36" customHeight="1">
      <c r="B66" s="20" t="s">
        <v>32</v>
      </c>
      <c r="C66" s="21"/>
      <c r="D66" s="22"/>
      <c r="E66" s="25" t="s">
        <v>76</v>
      </c>
      <c r="F66" s="54"/>
      <c r="G66" s="48">
        <f>SUM(G67:G75)</f>
        <v>12549491</v>
      </c>
      <c r="H66" s="48">
        <f>SUM(H67:H75)</f>
        <v>12090880</v>
      </c>
      <c r="I66" s="45">
        <f>SUM(I67:I75)</f>
        <v>458611</v>
      </c>
      <c r="J66" s="45">
        <f>SUM(J67:J75)</f>
        <v>458611</v>
      </c>
    </row>
    <row r="67" spans="2:10" ht="18" customHeight="1">
      <c r="B67" s="20" t="s">
        <v>106</v>
      </c>
      <c r="C67" s="21">
        <v>1010</v>
      </c>
      <c r="D67" s="22" t="s">
        <v>107</v>
      </c>
      <c r="E67" s="31" t="s">
        <v>108</v>
      </c>
      <c r="F67" s="54"/>
      <c r="G67" s="47">
        <f aca="true" t="shared" si="5" ref="G67:G75">SUM(H67:I67)</f>
        <v>3142520</v>
      </c>
      <c r="H67" s="64">
        <f>3249520-107000</f>
        <v>3142520</v>
      </c>
      <c r="I67" s="45"/>
      <c r="J67" s="45"/>
    </row>
    <row r="68" spans="2:10" ht="32.25" customHeight="1">
      <c r="B68" s="20" t="s">
        <v>114</v>
      </c>
      <c r="C68" s="21">
        <v>1021</v>
      </c>
      <c r="D68" s="22" t="s">
        <v>17</v>
      </c>
      <c r="E68" s="72" t="s">
        <v>115</v>
      </c>
      <c r="F68" s="54"/>
      <c r="G68" s="47">
        <f t="shared" si="5"/>
        <v>7649934</v>
      </c>
      <c r="H68" s="47">
        <f>10748723+16000+500000+100000+7000+11000+33937+49900+337613+149161-237300-1598600-607000-111000-815600-323900-461000-62000-87000</f>
        <v>7649934</v>
      </c>
      <c r="I68" s="47"/>
      <c r="J68" s="47"/>
    </row>
    <row r="69" spans="2:10" ht="47.25" customHeight="1">
      <c r="B69" s="20" t="s">
        <v>116</v>
      </c>
      <c r="C69" s="21">
        <v>1070</v>
      </c>
      <c r="D69" s="22" t="s">
        <v>18</v>
      </c>
      <c r="E69" s="73" t="s">
        <v>65</v>
      </c>
      <c r="F69" s="54"/>
      <c r="G69" s="47">
        <f t="shared" si="5"/>
        <v>712090</v>
      </c>
      <c r="H69" s="47">
        <f>878590-120000+41000+9000-1600-39500-55400</f>
        <v>712090</v>
      </c>
      <c r="I69" s="47"/>
      <c r="J69" s="45"/>
    </row>
    <row r="70" spans="2:10" ht="30">
      <c r="B70" s="20" t="s">
        <v>117</v>
      </c>
      <c r="C70" s="21">
        <v>1141</v>
      </c>
      <c r="D70" s="22" t="s">
        <v>19</v>
      </c>
      <c r="E70" s="72" t="s">
        <v>46</v>
      </c>
      <c r="F70" s="54"/>
      <c r="G70" s="47">
        <f t="shared" si="5"/>
        <v>45745</v>
      </c>
      <c r="H70" s="47">
        <f>45745</f>
        <v>45745</v>
      </c>
      <c r="I70" s="47"/>
      <c r="J70" s="45"/>
    </row>
    <row r="71" spans="2:10" ht="15">
      <c r="B71" s="20" t="s">
        <v>118</v>
      </c>
      <c r="C71" s="21">
        <v>1142</v>
      </c>
      <c r="D71" s="22" t="s">
        <v>19</v>
      </c>
      <c r="E71" s="72" t="s">
        <v>33</v>
      </c>
      <c r="F71" s="54"/>
      <c r="G71" s="47">
        <f t="shared" si="5"/>
        <v>28960</v>
      </c>
      <c r="H71" s="47">
        <f>15600+28960-15600</f>
        <v>28960</v>
      </c>
      <c r="I71" s="47"/>
      <c r="J71" s="45"/>
    </row>
    <row r="72" spans="2:10" ht="33" customHeight="1">
      <c r="B72" s="20" t="s">
        <v>119</v>
      </c>
      <c r="C72" s="21">
        <v>1151</v>
      </c>
      <c r="D72" s="22" t="s">
        <v>19</v>
      </c>
      <c r="E72" s="72" t="s">
        <v>120</v>
      </c>
      <c r="F72" s="54"/>
      <c r="G72" s="47">
        <f t="shared" si="5"/>
        <v>9625</v>
      </c>
      <c r="H72" s="47">
        <f>11425-1800</f>
        <v>9625</v>
      </c>
      <c r="I72" s="47"/>
      <c r="J72" s="45"/>
    </row>
    <row r="73" spans="2:10" ht="33" customHeight="1">
      <c r="B73" s="20" t="s">
        <v>121</v>
      </c>
      <c r="C73" s="21">
        <v>1160</v>
      </c>
      <c r="D73" s="22" t="s">
        <v>19</v>
      </c>
      <c r="E73" s="72" t="s">
        <v>122</v>
      </c>
      <c r="F73" s="54"/>
      <c r="G73" s="47">
        <f t="shared" si="5"/>
        <v>212140</v>
      </c>
      <c r="H73" s="47">
        <f>366640-154500</f>
        <v>212140</v>
      </c>
      <c r="I73" s="47"/>
      <c r="J73" s="45"/>
    </row>
    <row r="74" spans="2:10" ht="76.5" customHeight="1">
      <c r="B74" s="20" t="s">
        <v>172</v>
      </c>
      <c r="C74" s="21">
        <v>1181</v>
      </c>
      <c r="D74" s="22" t="s">
        <v>19</v>
      </c>
      <c r="E74" s="39" t="s">
        <v>173</v>
      </c>
      <c r="F74" s="54"/>
      <c r="G74" s="47">
        <f t="shared" si="5"/>
        <v>458611</v>
      </c>
      <c r="H74" s="47"/>
      <c r="I74" s="47">
        <f>458611</f>
        <v>458611</v>
      </c>
      <c r="J74" s="47">
        <f>458611</f>
        <v>458611</v>
      </c>
    </row>
    <row r="75" spans="2:10" ht="30">
      <c r="B75" s="20" t="s">
        <v>34</v>
      </c>
      <c r="C75" s="21">
        <v>5031</v>
      </c>
      <c r="D75" s="22" t="s">
        <v>8</v>
      </c>
      <c r="E75" s="37" t="s">
        <v>20</v>
      </c>
      <c r="F75" s="54"/>
      <c r="G75" s="47">
        <f t="shared" si="5"/>
        <v>289866</v>
      </c>
      <c r="H75" s="47">
        <f>473150+107800-151684-111400-28000</f>
        <v>289866</v>
      </c>
      <c r="I75" s="47"/>
      <c r="J75" s="45"/>
    </row>
    <row r="76" spans="2:10" ht="29.25">
      <c r="B76" s="24">
        <v>3700000</v>
      </c>
      <c r="C76" s="21"/>
      <c r="D76" s="22"/>
      <c r="E76" s="60" t="s">
        <v>104</v>
      </c>
      <c r="F76" s="54"/>
      <c r="G76" s="45">
        <f>G77</f>
        <v>855540</v>
      </c>
      <c r="H76" s="47"/>
      <c r="I76" s="45">
        <f>I77</f>
        <v>855540</v>
      </c>
      <c r="J76" s="45">
        <f>J77</f>
        <v>855540</v>
      </c>
    </row>
    <row r="77" spans="2:10" ht="30">
      <c r="B77" s="24">
        <v>3710000</v>
      </c>
      <c r="C77" s="21"/>
      <c r="D77" s="22"/>
      <c r="E77" s="36" t="s">
        <v>105</v>
      </c>
      <c r="F77" s="54"/>
      <c r="G77" s="45">
        <f>G78</f>
        <v>855540</v>
      </c>
      <c r="H77" s="47"/>
      <c r="I77" s="45">
        <f>I78</f>
        <v>855540</v>
      </c>
      <c r="J77" s="45">
        <f>J78</f>
        <v>855540</v>
      </c>
    </row>
    <row r="78" spans="2:10" ht="15">
      <c r="B78" s="24">
        <v>3719770</v>
      </c>
      <c r="C78" s="21">
        <v>9770</v>
      </c>
      <c r="D78" s="22" t="s">
        <v>15</v>
      </c>
      <c r="E78" s="35" t="s">
        <v>37</v>
      </c>
      <c r="F78" s="54"/>
      <c r="G78" s="47">
        <f>H78+I78</f>
        <v>855540</v>
      </c>
      <c r="H78" s="47"/>
      <c r="I78" s="47">
        <f>585000+270540</f>
        <v>855540</v>
      </c>
      <c r="J78" s="47">
        <f>585000+270540</f>
        <v>855540</v>
      </c>
    </row>
    <row r="79" spans="2:10" ht="71.25" hidden="1">
      <c r="B79" s="20"/>
      <c r="C79" s="21"/>
      <c r="D79" s="22"/>
      <c r="E79" s="30"/>
      <c r="F79" s="65" t="s">
        <v>77</v>
      </c>
      <c r="G79" s="48">
        <f aca="true" t="shared" si="6" ref="G79:H81">SUM(G80)</f>
        <v>0</v>
      </c>
      <c r="H79" s="48">
        <f t="shared" si="6"/>
        <v>0</v>
      </c>
      <c r="I79" s="45"/>
      <c r="J79" s="45"/>
    </row>
    <row r="80" spans="2:10" ht="35.25" customHeight="1" hidden="1">
      <c r="B80" s="20" t="s">
        <v>31</v>
      </c>
      <c r="C80" s="21"/>
      <c r="D80" s="22"/>
      <c r="E80" s="25" t="s">
        <v>78</v>
      </c>
      <c r="F80" s="26"/>
      <c r="G80" s="48">
        <f t="shared" si="6"/>
        <v>0</v>
      </c>
      <c r="H80" s="48">
        <f t="shared" si="6"/>
        <v>0</v>
      </c>
      <c r="I80" s="45"/>
      <c r="J80" s="45"/>
    </row>
    <row r="81" spans="2:10" ht="32.25" customHeight="1" hidden="1">
      <c r="B81" s="20" t="s">
        <v>32</v>
      </c>
      <c r="C81" s="21"/>
      <c r="D81" s="22"/>
      <c r="E81" s="25" t="s">
        <v>79</v>
      </c>
      <c r="F81" s="26"/>
      <c r="G81" s="48">
        <f t="shared" si="6"/>
        <v>0</v>
      </c>
      <c r="H81" s="48">
        <f>SUM(H82)</f>
        <v>0</v>
      </c>
      <c r="I81" s="45"/>
      <c r="J81" s="45"/>
    </row>
    <row r="82" spans="2:10" ht="34.5" customHeight="1" hidden="1">
      <c r="B82" s="20" t="s">
        <v>114</v>
      </c>
      <c r="C82" s="21">
        <v>1021</v>
      </c>
      <c r="D82" s="22" t="s">
        <v>17</v>
      </c>
      <c r="E82" s="37" t="s">
        <v>115</v>
      </c>
      <c r="F82" s="26"/>
      <c r="G82" s="47">
        <f>SUM(H82:I82)</f>
        <v>0</v>
      </c>
      <c r="H82" s="47"/>
      <c r="I82" s="45"/>
      <c r="J82" s="45"/>
    </row>
    <row r="83" spans="2:10" ht="47.25" customHeight="1">
      <c r="B83" s="20"/>
      <c r="C83" s="21"/>
      <c r="D83" s="22"/>
      <c r="E83" s="30"/>
      <c r="F83" s="65" t="s">
        <v>97</v>
      </c>
      <c r="G83" s="48">
        <f aca="true" t="shared" si="7" ref="G83:H85">SUM(G84)</f>
        <v>585626</v>
      </c>
      <c r="H83" s="48">
        <f t="shared" si="7"/>
        <v>585626</v>
      </c>
      <c r="I83" s="45"/>
      <c r="J83" s="45"/>
    </row>
    <row r="84" spans="2:10" ht="50.25" customHeight="1">
      <c r="B84" s="24">
        <v>1000000</v>
      </c>
      <c r="C84" s="21"/>
      <c r="D84" s="22"/>
      <c r="E84" s="60" t="s">
        <v>109</v>
      </c>
      <c r="F84" s="11"/>
      <c r="G84" s="48">
        <f t="shared" si="7"/>
        <v>585626</v>
      </c>
      <c r="H84" s="48">
        <f t="shared" si="7"/>
        <v>585626</v>
      </c>
      <c r="I84" s="45"/>
      <c r="J84" s="45"/>
    </row>
    <row r="85" spans="2:10" ht="44.25">
      <c r="B85" s="24">
        <v>1010000</v>
      </c>
      <c r="C85" s="21"/>
      <c r="D85" s="22"/>
      <c r="E85" s="60" t="s">
        <v>96</v>
      </c>
      <c r="F85" s="11"/>
      <c r="G85" s="48">
        <f t="shared" si="7"/>
        <v>585626</v>
      </c>
      <c r="H85" s="48">
        <f>SUM(H86)</f>
        <v>585626</v>
      </c>
      <c r="I85" s="45"/>
      <c r="J85" s="45"/>
    </row>
    <row r="86" spans="2:10" ht="15">
      <c r="B86" s="24">
        <v>1014082</v>
      </c>
      <c r="C86" s="21">
        <v>4082</v>
      </c>
      <c r="D86" s="22" t="s">
        <v>35</v>
      </c>
      <c r="E86" s="39" t="s">
        <v>36</v>
      </c>
      <c r="F86" s="11"/>
      <c r="G86" s="47">
        <f>SUM(H86:I86)</f>
        <v>585626</v>
      </c>
      <c r="H86" s="47">
        <f>290400+123000-7000+83000+20000-25000+6408+13500+35000+46500-182</f>
        <v>585626</v>
      </c>
      <c r="I86" s="47"/>
      <c r="J86" s="45"/>
    </row>
    <row r="87" spans="2:10" ht="45" customHeight="1">
      <c r="B87" s="8"/>
      <c r="C87" s="8"/>
      <c r="D87" s="14"/>
      <c r="E87" s="11"/>
      <c r="F87" s="65" t="s">
        <v>83</v>
      </c>
      <c r="G87" s="48">
        <f aca="true" t="shared" si="8" ref="G87:G105">H87+I87</f>
        <v>40440761</v>
      </c>
      <c r="H87" s="48">
        <f>SUM(H107+H88)</f>
        <v>2843080</v>
      </c>
      <c r="I87" s="45">
        <f>I88+I107+I111+I104</f>
        <v>37597681</v>
      </c>
      <c r="J87" s="45">
        <f>J88+J107+J104</f>
        <v>36474429</v>
      </c>
    </row>
    <row r="88" spans="2:10" ht="26.25" customHeight="1">
      <c r="B88" s="20" t="s">
        <v>41</v>
      </c>
      <c r="C88" s="24"/>
      <c r="D88" s="20"/>
      <c r="E88" s="25" t="s">
        <v>71</v>
      </c>
      <c r="F88" s="65"/>
      <c r="G88" s="48">
        <f t="shared" si="8"/>
        <v>37595235</v>
      </c>
      <c r="H88" s="48">
        <f>SUM(H89)</f>
        <v>2206614</v>
      </c>
      <c r="I88" s="45">
        <f>I89</f>
        <v>35388621</v>
      </c>
      <c r="J88" s="45">
        <f>J89</f>
        <v>34265369</v>
      </c>
    </row>
    <row r="89" spans="2:10" ht="26.25" customHeight="1">
      <c r="B89" s="20" t="s">
        <v>42</v>
      </c>
      <c r="C89" s="24"/>
      <c r="D89" s="20"/>
      <c r="E89" s="25" t="s">
        <v>73</v>
      </c>
      <c r="F89" s="65"/>
      <c r="G89" s="48">
        <f>H89+I89</f>
        <v>37595235</v>
      </c>
      <c r="H89" s="45">
        <f>H95+H99+H96+H94+H98+H101+H102+H93+H103+H90+H100+H92+H91</f>
        <v>2206614</v>
      </c>
      <c r="I89" s="45">
        <f>I95+I99+I96+I94+I98+I101+I102+I93+I103+I90+I100+I92+I97</f>
        <v>35388621</v>
      </c>
      <c r="J89" s="45">
        <f>J95+J99+J96+J94+J98+J101+J102+J93+J90+J100+J92+J97</f>
        <v>34265369</v>
      </c>
    </row>
    <row r="90" spans="2:10" ht="73.5" customHeight="1">
      <c r="B90" s="20" t="s">
        <v>163</v>
      </c>
      <c r="C90" s="22" t="s">
        <v>164</v>
      </c>
      <c r="D90" s="22" t="s">
        <v>165</v>
      </c>
      <c r="E90" s="62" t="s">
        <v>166</v>
      </c>
      <c r="F90" s="65"/>
      <c r="G90" s="48">
        <f>H90+I90</f>
        <v>102000</v>
      </c>
      <c r="H90" s="45"/>
      <c r="I90" s="47">
        <f>10000+46000+23000+23000</f>
        <v>102000</v>
      </c>
      <c r="J90" s="47">
        <f>10000+46000+23000+23000</f>
        <v>102000</v>
      </c>
    </row>
    <row r="91" spans="2:10" ht="15.75" customHeight="1">
      <c r="B91" s="20" t="s">
        <v>179</v>
      </c>
      <c r="C91" s="22" t="s">
        <v>15</v>
      </c>
      <c r="D91" s="22" t="s">
        <v>180</v>
      </c>
      <c r="E91" s="62" t="s">
        <v>181</v>
      </c>
      <c r="F91" s="65"/>
      <c r="G91" s="48">
        <f>H91+I91</f>
        <v>3000</v>
      </c>
      <c r="H91" s="47">
        <v>3000</v>
      </c>
      <c r="I91" s="47"/>
      <c r="J91" s="47"/>
    </row>
    <row r="92" spans="2:10" ht="18.75" customHeight="1">
      <c r="B92" s="20" t="s">
        <v>167</v>
      </c>
      <c r="C92" s="21">
        <v>1010</v>
      </c>
      <c r="D92" s="22" t="s">
        <v>107</v>
      </c>
      <c r="E92" s="39" t="s">
        <v>108</v>
      </c>
      <c r="F92" s="65"/>
      <c r="G92" s="48">
        <f>H92+I92</f>
        <v>1884806</v>
      </c>
      <c r="H92" s="47">
        <f>1500000+234007+21316+12000+130000-12517</f>
        <v>1884806</v>
      </c>
      <c r="I92" s="47"/>
      <c r="J92" s="47"/>
    </row>
    <row r="93" spans="2:10" ht="21" customHeight="1">
      <c r="B93" s="20" t="s">
        <v>84</v>
      </c>
      <c r="C93" s="83">
        <v>6030</v>
      </c>
      <c r="D93" s="84" t="s">
        <v>43</v>
      </c>
      <c r="E93" s="82" t="s">
        <v>150</v>
      </c>
      <c r="F93" s="65"/>
      <c r="G93" s="48">
        <f>H93+I93</f>
        <v>1036463</v>
      </c>
      <c r="H93" s="48"/>
      <c r="I93" s="47">
        <f>2050000+1000000-2000000-13537</f>
        <v>1036463</v>
      </c>
      <c r="J93" s="47">
        <f>2050000+1000000-2000000-13537</f>
        <v>1036463</v>
      </c>
    </row>
    <row r="94" spans="2:10" ht="22.5" customHeight="1">
      <c r="B94" s="20" t="s">
        <v>137</v>
      </c>
      <c r="C94" s="21">
        <v>7321</v>
      </c>
      <c r="D94" s="22" t="s">
        <v>129</v>
      </c>
      <c r="E94" s="39" t="s">
        <v>138</v>
      </c>
      <c r="F94" s="65"/>
      <c r="G94" s="48">
        <f t="shared" si="8"/>
        <v>8126931</v>
      </c>
      <c r="H94" s="48"/>
      <c r="I94" s="47">
        <f>1000000+430000+5000+120000+30000+8700+5400+150028+1500000+4000000+700000+240000-28746-1760-13365-1200-2791-14335</f>
        <v>8126931</v>
      </c>
      <c r="J94" s="47">
        <f>1000000+430000+5000+120000+30000+8700+5400+150028+1500000+4000000+700000+240000-28746-1760-13365-1200-2791-14335</f>
        <v>8126931</v>
      </c>
    </row>
    <row r="95" spans="2:10" ht="21.75" customHeight="1">
      <c r="B95" s="20" t="s">
        <v>128</v>
      </c>
      <c r="C95" s="21">
        <v>7322</v>
      </c>
      <c r="D95" s="22" t="s">
        <v>129</v>
      </c>
      <c r="E95" s="38" t="s">
        <v>130</v>
      </c>
      <c r="F95" s="65"/>
      <c r="G95" s="48">
        <f t="shared" si="8"/>
        <v>9478552</v>
      </c>
      <c r="H95" s="64"/>
      <c r="I95" s="47">
        <f>1000+3000000+1000000+3000000-1000+2100000+49600+7500+49600+5000+17847+55145+7712+108300+87844-1481-12764-10607-1284-845+6613+10372</f>
        <v>9478552</v>
      </c>
      <c r="J95" s="47">
        <f>1000+3000000+1000000+3000000-1000+2100000+49600+7500+49600+5000+17847+55145+7712+108300+87844-1481-12764-10607-1284-845+6613+10372</f>
        <v>9478552</v>
      </c>
    </row>
    <row r="96" spans="2:10" ht="30" customHeight="1" hidden="1">
      <c r="B96" s="20" t="s">
        <v>135</v>
      </c>
      <c r="C96" s="21">
        <v>7330</v>
      </c>
      <c r="D96" s="22" t="s">
        <v>129</v>
      </c>
      <c r="E96" s="38" t="s">
        <v>136</v>
      </c>
      <c r="F96" s="65"/>
      <c r="G96" s="48">
        <f t="shared" si="8"/>
        <v>0</v>
      </c>
      <c r="H96" s="64"/>
      <c r="I96" s="47">
        <f>199382-199382</f>
        <v>0</v>
      </c>
      <c r="J96" s="47">
        <f>199382-199382</f>
        <v>0</v>
      </c>
    </row>
    <row r="97" spans="2:10" ht="30" customHeight="1">
      <c r="B97" s="20" t="s">
        <v>182</v>
      </c>
      <c r="C97" s="83">
        <v>7350</v>
      </c>
      <c r="D97" s="84" t="s">
        <v>129</v>
      </c>
      <c r="E97" s="86" t="s">
        <v>183</v>
      </c>
      <c r="F97" s="65"/>
      <c r="G97" s="48">
        <f t="shared" si="8"/>
        <v>40000</v>
      </c>
      <c r="H97" s="64"/>
      <c r="I97" s="47">
        <v>40000</v>
      </c>
      <c r="J97" s="47">
        <v>40000</v>
      </c>
    </row>
    <row r="98" spans="2:10" ht="46.5" customHeight="1">
      <c r="B98" s="20" t="s">
        <v>143</v>
      </c>
      <c r="C98" s="21">
        <v>7367</v>
      </c>
      <c r="D98" s="22" t="s">
        <v>16</v>
      </c>
      <c r="E98" s="38" t="s">
        <v>144</v>
      </c>
      <c r="F98" s="65"/>
      <c r="G98" s="48">
        <f t="shared" si="8"/>
        <v>3167848</v>
      </c>
      <c r="H98" s="64"/>
      <c r="I98" s="47">
        <f>340951+3186587+1000-360690</f>
        <v>3167848</v>
      </c>
      <c r="J98" s="47">
        <f>3186587+1000-360690</f>
        <v>2826897</v>
      </c>
    </row>
    <row r="99" spans="2:10" ht="31.5" customHeight="1">
      <c r="B99" s="20" t="s">
        <v>131</v>
      </c>
      <c r="C99" s="21">
        <v>7368</v>
      </c>
      <c r="D99" s="22" t="s">
        <v>16</v>
      </c>
      <c r="E99" s="38" t="s">
        <v>132</v>
      </c>
      <c r="F99" s="65"/>
      <c r="G99" s="48">
        <f t="shared" si="8"/>
        <v>12095002</v>
      </c>
      <c r="H99" s="64"/>
      <c r="I99" s="47">
        <f>7135000+1957672+290565+1300000+1411765</f>
        <v>12095002</v>
      </c>
      <c r="J99" s="47">
        <f>7135000+1957672+290565+1300000+1411765</f>
        <v>12095002</v>
      </c>
    </row>
    <row r="100" spans="2:10" ht="31.5" customHeight="1">
      <c r="B100" s="20" t="s">
        <v>159</v>
      </c>
      <c r="C100" s="21">
        <v>7370</v>
      </c>
      <c r="D100" s="22" t="s">
        <v>16</v>
      </c>
      <c r="E100" s="31" t="s">
        <v>140</v>
      </c>
      <c r="F100" s="65"/>
      <c r="G100" s="48">
        <f t="shared" si="8"/>
        <v>878332</v>
      </c>
      <c r="H100" s="64">
        <f>2000+117288+47000+47000+49000+45858-19338+30000</f>
        <v>318808</v>
      </c>
      <c r="I100" s="47">
        <f>149688+349272+50000+16030-2572-2894</f>
        <v>559524</v>
      </c>
      <c r="J100" s="47">
        <f>149688+349272+50000+16030-2572-2894</f>
        <v>559524</v>
      </c>
    </row>
    <row r="101" spans="2:10" ht="48.75" customHeight="1" hidden="1">
      <c r="B101" s="20" t="s">
        <v>87</v>
      </c>
      <c r="C101" s="21">
        <v>7461</v>
      </c>
      <c r="D101" s="22" t="s">
        <v>49</v>
      </c>
      <c r="E101" s="40" t="s">
        <v>88</v>
      </c>
      <c r="F101" s="65"/>
      <c r="G101" s="48">
        <f t="shared" si="8"/>
        <v>0</v>
      </c>
      <c r="H101" s="64"/>
      <c r="I101" s="47">
        <f>49000-49000</f>
        <v>0</v>
      </c>
      <c r="J101" s="47">
        <f>49000-49000</f>
        <v>0</v>
      </c>
    </row>
    <row r="102" spans="2:10" ht="34.5" customHeight="1" hidden="1">
      <c r="B102" s="20" t="s">
        <v>98</v>
      </c>
      <c r="C102" s="77">
        <v>8311</v>
      </c>
      <c r="D102" s="78" t="s">
        <v>99</v>
      </c>
      <c r="E102" s="23" t="s">
        <v>100</v>
      </c>
      <c r="F102" s="65"/>
      <c r="G102" s="48">
        <f t="shared" si="8"/>
        <v>0</v>
      </c>
      <c r="H102" s="79"/>
      <c r="I102" s="80"/>
      <c r="J102" s="80"/>
    </row>
    <row r="103" spans="2:10" ht="120" customHeight="1">
      <c r="B103" s="20" t="s">
        <v>157</v>
      </c>
      <c r="C103" s="21">
        <v>7691</v>
      </c>
      <c r="D103" s="22" t="s">
        <v>16</v>
      </c>
      <c r="E103" s="30" t="s">
        <v>158</v>
      </c>
      <c r="F103" s="65"/>
      <c r="G103" s="48">
        <f t="shared" si="8"/>
        <v>782301</v>
      </c>
      <c r="H103" s="79"/>
      <c r="I103" s="47">
        <f>198000+369572+100000+12429+102300</f>
        <v>782301</v>
      </c>
      <c r="J103" s="80"/>
    </row>
    <row r="104" spans="2:10" ht="31.5" customHeight="1">
      <c r="B104" s="20" t="s">
        <v>31</v>
      </c>
      <c r="C104" s="21"/>
      <c r="D104" s="22"/>
      <c r="E104" s="25" t="s">
        <v>75</v>
      </c>
      <c r="F104" s="65"/>
      <c r="G104" s="48">
        <f t="shared" si="8"/>
        <v>49600</v>
      </c>
      <c r="H104" s="79"/>
      <c r="I104" s="45">
        <f>I105</f>
        <v>49600</v>
      </c>
      <c r="J104" s="45">
        <f>J105</f>
        <v>49600</v>
      </c>
    </row>
    <row r="105" spans="2:10" ht="36.75" customHeight="1">
      <c r="B105" s="20" t="s">
        <v>32</v>
      </c>
      <c r="C105" s="21"/>
      <c r="D105" s="22"/>
      <c r="E105" s="25" t="s">
        <v>76</v>
      </c>
      <c r="F105" s="65"/>
      <c r="G105" s="48">
        <f t="shared" si="8"/>
        <v>49600</v>
      </c>
      <c r="H105" s="79"/>
      <c r="I105" s="45">
        <f>I106</f>
        <v>49600</v>
      </c>
      <c r="J105" s="45">
        <f>J106</f>
        <v>49600</v>
      </c>
    </row>
    <row r="106" spans="2:10" ht="19.5" customHeight="1">
      <c r="B106" s="20" t="s">
        <v>176</v>
      </c>
      <c r="C106" s="21">
        <v>7321</v>
      </c>
      <c r="D106" s="22" t="s">
        <v>129</v>
      </c>
      <c r="E106" s="39" t="s">
        <v>138</v>
      </c>
      <c r="F106" s="65"/>
      <c r="G106" s="48">
        <f>H106+I106</f>
        <v>49600</v>
      </c>
      <c r="H106" s="79"/>
      <c r="I106" s="47">
        <f>12960+35640+1000</f>
        <v>49600</v>
      </c>
      <c r="J106" s="47">
        <f>12960+35640+1000</f>
        <v>49600</v>
      </c>
    </row>
    <row r="107" spans="2:10" ht="29.25">
      <c r="B107" s="24">
        <v>3700000</v>
      </c>
      <c r="C107" s="21"/>
      <c r="D107" s="22"/>
      <c r="E107" s="60" t="s">
        <v>104</v>
      </c>
      <c r="F107" s="56"/>
      <c r="G107" s="48">
        <f>SUM(G108)</f>
        <v>2795926</v>
      </c>
      <c r="H107" s="48">
        <f>SUM(H108)</f>
        <v>636466</v>
      </c>
      <c r="I107" s="45">
        <f>I108</f>
        <v>2159460</v>
      </c>
      <c r="J107" s="45">
        <f>J108</f>
        <v>2159460</v>
      </c>
    </row>
    <row r="108" spans="2:10" ht="37.5" customHeight="1">
      <c r="B108" s="24">
        <v>3710000</v>
      </c>
      <c r="C108" s="21"/>
      <c r="D108" s="22"/>
      <c r="E108" s="36" t="s">
        <v>105</v>
      </c>
      <c r="F108" s="56"/>
      <c r="G108" s="48">
        <f>SUM(H108+I108)</f>
        <v>2795926</v>
      </c>
      <c r="H108" s="48">
        <f>SUM(H110)</f>
        <v>636466</v>
      </c>
      <c r="I108" s="45">
        <f>I110+I109</f>
        <v>2159460</v>
      </c>
      <c r="J108" s="45">
        <f>J110+J109</f>
        <v>2159460</v>
      </c>
    </row>
    <row r="109" spans="2:10" ht="31.5" customHeight="1">
      <c r="B109" s="24">
        <v>3719750</v>
      </c>
      <c r="C109" s="21">
        <v>9750</v>
      </c>
      <c r="D109" s="22" t="s">
        <v>15</v>
      </c>
      <c r="E109" s="35" t="s">
        <v>174</v>
      </c>
      <c r="F109" s="56"/>
      <c r="G109" s="64">
        <f>SUM(H109+I109)</f>
        <v>159460</v>
      </c>
      <c r="H109" s="48"/>
      <c r="I109" s="47">
        <f>96200+96200+96200-49410-79730</f>
        <v>159460</v>
      </c>
      <c r="J109" s="47">
        <f>288600-49410-79730</f>
        <v>159460</v>
      </c>
    </row>
    <row r="110" spans="2:10" ht="15">
      <c r="B110" s="24">
        <v>3719770</v>
      </c>
      <c r="C110" s="21">
        <v>9770</v>
      </c>
      <c r="D110" s="22" t="s">
        <v>15</v>
      </c>
      <c r="E110" s="35" t="s">
        <v>37</v>
      </c>
      <c r="F110" s="54"/>
      <c r="G110" s="47">
        <f>SUM(H110:I110)</f>
        <v>2636466</v>
      </c>
      <c r="H110" s="47">
        <f>500481+15000+96538+9968+3765+8444+2270</f>
        <v>636466</v>
      </c>
      <c r="I110" s="47">
        <f>2000000+96200-96200</f>
        <v>2000000</v>
      </c>
      <c r="J110" s="47">
        <f>2000000+96200-96200</f>
        <v>2000000</v>
      </c>
    </row>
    <row r="111" spans="2:10" ht="29.25" hidden="1">
      <c r="B111" s="20" t="s">
        <v>31</v>
      </c>
      <c r="C111" s="21"/>
      <c r="D111" s="22"/>
      <c r="E111" s="25" t="s">
        <v>78</v>
      </c>
      <c r="F111" s="54"/>
      <c r="G111" s="48">
        <f>SUM(G112)</f>
        <v>0</v>
      </c>
      <c r="H111" s="47"/>
      <c r="I111" s="45">
        <f>SUM(I112)</f>
        <v>0</v>
      </c>
      <c r="J111" s="45"/>
    </row>
    <row r="112" spans="2:10" ht="30" hidden="1">
      <c r="B112" s="20" t="s">
        <v>32</v>
      </c>
      <c r="C112" s="21"/>
      <c r="D112" s="22"/>
      <c r="E112" s="25" t="s">
        <v>79</v>
      </c>
      <c r="F112" s="54"/>
      <c r="G112" s="45">
        <f>SUM(G113)</f>
        <v>0</v>
      </c>
      <c r="H112" s="47"/>
      <c r="I112" s="45">
        <f>SUM(I113)</f>
        <v>0</v>
      </c>
      <c r="J112" s="45"/>
    </row>
    <row r="113" spans="2:10" ht="30" hidden="1">
      <c r="B113" s="20" t="s">
        <v>114</v>
      </c>
      <c r="C113" s="21">
        <v>1021</v>
      </c>
      <c r="D113" s="22" t="s">
        <v>17</v>
      </c>
      <c r="E113" s="37" t="s">
        <v>115</v>
      </c>
      <c r="F113" s="54"/>
      <c r="G113" s="47">
        <f>SUM(H113:I113)</f>
        <v>0</v>
      </c>
      <c r="H113" s="47"/>
      <c r="I113" s="47"/>
      <c r="J113" s="47"/>
    </row>
    <row r="114" spans="2:10" ht="15" hidden="1">
      <c r="B114" s="24"/>
      <c r="C114" s="21"/>
      <c r="D114" s="22"/>
      <c r="E114" s="35"/>
      <c r="F114" s="54"/>
      <c r="G114" s="47"/>
      <c r="H114" s="47"/>
      <c r="I114" s="47"/>
      <c r="J114" s="45"/>
    </row>
    <row r="115" spans="2:10" ht="28.5">
      <c r="B115" s="20"/>
      <c r="C115" s="21"/>
      <c r="D115" s="22"/>
      <c r="E115" s="30"/>
      <c r="F115" s="66" t="s">
        <v>101</v>
      </c>
      <c r="G115" s="45">
        <f>SUM(G116)</f>
        <v>7160000</v>
      </c>
      <c r="H115" s="45"/>
      <c r="I115" s="45">
        <f>SUM(I116)</f>
        <v>7160000</v>
      </c>
      <c r="J115" s="45"/>
    </row>
    <row r="116" spans="2:10" ht="15">
      <c r="B116" s="20" t="s">
        <v>41</v>
      </c>
      <c r="C116" s="24"/>
      <c r="D116" s="20"/>
      <c r="E116" s="25" t="s">
        <v>71</v>
      </c>
      <c r="F116" s="54"/>
      <c r="G116" s="45">
        <f>SUM(G117)</f>
        <v>7160000</v>
      </c>
      <c r="H116" s="45"/>
      <c r="I116" s="45">
        <f>SUM(I117)</f>
        <v>7160000</v>
      </c>
      <c r="J116" s="45"/>
    </row>
    <row r="117" spans="2:10" ht="30">
      <c r="B117" s="20" t="s">
        <v>42</v>
      </c>
      <c r="C117" s="24"/>
      <c r="D117" s="20"/>
      <c r="E117" s="25" t="s">
        <v>73</v>
      </c>
      <c r="F117" s="54"/>
      <c r="G117" s="45">
        <f>SUM(G118)</f>
        <v>7160000</v>
      </c>
      <c r="H117" s="45"/>
      <c r="I117" s="45">
        <f>SUM(I118)</f>
        <v>7160000</v>
      </c>
      <c r="J117" s="45"/>
    </row>
    <row r="118" spans="2:10" ht="30">
      <c r="B118" s="20" t="s">
        <v>98</v>
      </c>
      <c r="C118" s="21">
        <v>8311</v>
      </c>
      <c r="D118" s="22" t="s">
        <v>99</v>
      </c>
      <c r="E118" s="63" t="s">
        <v>100</v>
      </c>
      <c r="F118" s="54"/>
      <c r="G118" s="47">
        <f>SUM(H118:I118)</f>
        <v>7160000</v>
      </c>
      <c r="H118" s="47"/>
      <c r="I118" s="47">
        <f>160000+3000000+2000000+2000000</f>
        <v>7160000</v>
      </c>
      <c r="J118" s="47"/>
    </row>
    <row r="119" spans="2:10" ht="45.75" customHeight="1">
      <c r="B119" s="20"/>
      <c r="C119" s="21"/>
      <c r="D119" s="22"/>
      <c r="E119" s="63"/>
      <c r="F119" s="66" t="s">
        <v>162</v>
      </c>
      <c r="G119" s="45">
        <f aca="true" t="shared" si="9" ref="G119:H121">SUM(G120)</f>
        <v>84446</v>
      </c>
      <c r="H119" s="45">
        <f t="shared" si="9"/>
        <v>84446</v>
      </c>
      <c r="I119" s="45"/>
      <c r="J119" s="45"/>
    </row>
    <row r="120" spans="2:10" ht="15">
      <c r="B120" s="20" t="s">
        <v>41</v>
      </c>
      <c r="C120" s="24"/>
      <c r="D120" s="20"/>
      <c r="E120" s="25" t="s">
        <v>71</v>
      </c>
      <c r="F120" s="54"/>
      <c r="G120" s="45">
        <f t="shared" si="9"/>
        <v>84446</v>
      </c>
      <c r="H120" s="45">
        <f t="shared" si="9"/>
        <v>84446</v>
      </c>
      <c r="I120" s="45"/>
      <c r="J120" s="45"/>
    </row>
    <row r="121" spans="2:10" ht="30">
      <c r="B121" s="20" t="s">
        <v>42</v>
      </c>
      <c r="C121" s="24"/>
      <c r="D121" s="20"/>
      <c r="E121" s="25" t="s">
        <v>73</v>
      </c>
      <c r="F121" s="54"/>
      <c r="G121" s="45">
        <f t="shared" si="9"/>
        <v>84446</v>
      </c>
      <c r="H121" s="45">
        <f>SUM(H122)</f>
        <v>84446</v>
      </c>
      <c r="I121" s="47"/>
      <c r="J121" s="45"/>
    </row>
    <row r="122" spans="2:10" ht="30">
      <c r="B122" s="20" t="s">
        <v>102</v>
      </c>
      <c r="C122" s="21">
        <v>7680</v>
      </c>
      <c r="D122" s="22" t="s">
        <v>16</v>
      </c>
      <c r="E122" s="42" t="s">
        <v>103</v>
      </c>
      <c r="F122" s="54"/>
      <c r="G122" s="47">
        <f>SUM(H122:I122)</f>
        <v>84446</v>
      </c>
      <c r="H122" s="47">
        <f>42446+42000</f>
        <v>84446</v>
      </c>
      <c r="I122" s="47"/>
      <c r="J122" s="45"/>
    </row>
    <row r="123" spans="2:10" ht="74.25" customHeight="1">
      <c r="B123" s="20"/>
      <c r="C123" s="21"/>
      <c r="D123" s="22"/>
      <c r="E123" s="42"/>
      <c r="F123" s="67" t="s">
        <v>127</v>
      </c>
      <c r="G123" s="45">
        <f aca="true" t="shared" si="10" ref="G123:H125">SUM(G124)</f>
        <v>1380876</v>
      </c>
      <c r="H123" s="45">
        <f t="shared" si="10"/>
        <v>1380876</v>
      </c>
      <c r="I123" s="45"/>
      <c r="J123" s="45"/>
    </row>
    <row r="124" spans="2:10" ht="44.25">
      <c r="B124" s="24">
        <v>1000000</v>
      </c>
      <c r="C124" s="21"/>
      <c r="D124" s="22"/>
      <c r="E124" s="60" t="s">
        <v>109</v>
      </c>
      <c r="F124" s="54"/>
      <c r="G124" s="45">
        <f t="shared" si="10"/>
        <v>1380876</v>
      </c>
      <c r="H124" s="45">
        <f t="shared" si="10"/>
        <v>1380876</v>
      </c>
      <c r="I124" s="47"/>
      <c r="J124" s="45"/>
    </row>
    <row r="125" spans="2:10" ht="44.25">
      <c r="B125" s="24">
        <v>1010000</v>
      </c>
      <c r="C125" s="21"/>
      <c r="D125" s="22"/>
      <c r="E125" s="60" t="s">
        <v>110</v>
      </c>
      <c r="F125" s="54"/>
      <c r="G125" s="45">
        <f t="shared" si="10"/>
        <v>1380876</v>
      </c>
      <c r="H125" s="45">
        <f>SUM(H126)</f>
        <v>1380876</v>
      </c>
      <c r="I125" s="47"/>
      <c r="J125" s="45"/>
    </row>
    <row r="126" spans="2:10" ht="60">
      <c r="B126" s="20" t="s">
        <v>94</v>
      </c>
      <c r="C126" s="21">
        <v>5061</v>
      </c>
      <c r="D126" s="22" t="s">
        <v>8</v>
      </c>
      <c r="E126" s="42" t="s">
        <v>95</v>
      </c>
      <c r="F126" s="54"/>
      <c r="G126" s="47">
        <f>SUM(H126:I126)</f>
        <v>1380876</v>
      </c>
      <c r="H126" s="47">
        <f>1190106+212308+1944-23482</f>
        <v>1380876</v>
      </c>
      <c r="I126" s="47"/>
      <c r="J126" s="45"/>
    </row>
    <row r="127" spans="2:10" ht="57">
      <c r="B127" s="20"/>
      <c r="C127" s="21"/>
      <c r="D127" s="22"/>
      <c r="E127" s="42"/>
      <c r="F127" s="67" t="s">
        <v>139</v>
      </c>
      <c r="G127" s="45">
        <f aca="true" t="shared" si="11" ref="G127:G136">H127+I127</f>
        <v>676756</v>
      </c>
      <c r="H127" s="45">
        <f>H128</f>
        <v>676756</v>
      </c>
      <c r="I127" s="47"/>
      <c r="J127" s="45"/>
    </row>
    <row r="128" spans="2:10" ht="15">
      <c r="B128" s="20" t="s">
        <v>41</v>
      </c>
      <c r="C128" s="24"/>
      <c r="D128" s="20"/>
      <c r="E128" s="25" t="s">
        <v>71</v>
      </c>
      <c r="F128" s="54"/>
      <c r="G128" s="45">
        <f t="shared" si="11"/>
        <v>676756</v>
      </c>
      <c r="H128" s="45">
        <f>H129</f>
        <v>676756</v>
      </c>
      <c r="I128" s="47"/>
      <c r="J128" s="45"/>
    </row>
    <row r="129" spans="2:10" ht="30">
      <c r="B129" s="20" t="s">
        <v>42</v>
      </c>
      <c r="C129" s="24"/>
      <c r="D129" s="20"/>
      <c r="E129" s="25" t="s">
        <v>73</v>
      </c>
      <c r="F129" s="54"/>
      <c r="G129" s="45">
        <f t="shared" si="11"/>
        <v>676756</v>
      </c>
      <c r="H129" s="45">
        <f>H130</f>
        <v>676756</v>
      </c>
      <c r="I129" s="47"/>
      <c r="J129" s="45"/>
    </row>
    <row r="130" spans="2:10" ht="30">
      <c r="B130" s="20" t="s">
        <v>159</v>
      </c>
      <c r="C130" s="21">
        <v>7370</v>
      </c>
      <c r="D130" s="22" t="s">
        <v>16</v>
      </c>
      <c r="E130" s="31" t="s">
        <v>140</v>
      </c>
      <c r="F130" s="54"/>
      <c r="G130" s="47">
        <f t="shared" si="11"/>
        <v>676756</v>
      </c>
      <c r="H130" s="47">
        <f>540000+49900+49334+12896+18726+5900</f>
        <v>676756</v>
      </c>
      <c r="I130" s="47"/>
      <c r="J130" s="45"/>
    </row>
    <row r="131" spans="2:10" ht="28.5">
      <c r="B131" s="20"/>
      <c r="C131" s="21"/>
      <c r="D131" s="22"/>
      <c r="E131" s="31"/>
      <c r="F131" s="67" t="s">
        <v>141</v>
      </c>
      <c r="G131" s="45">
        <f t="shared" si="11"/>
        <v>324503</v>
      </c>
      <c r="H131" s="45">
        <f>H132</f>
        <v>324503</v>
      </c>
      <c r="I131" s="47"/>
      <c r="J131" s="45"/>
    </row>
    <row r="132" spans="2:10" ht="15">
      <c r="B132" s="20" t="s">
        <v>41</v>
      </c>
      <c r="C132" s="24"/>
      <c r="D132" s="20"/>
      <c r="E132" s="25" t="s">
        <v>71</v>
      </c>
      <c r="F132" s="54"/>
      <c r="G132" s="45">
        <f t="shared" si="11"/>
        <v>324503</v>
      </c>
      <c r="H132" s="45">
        <f>H133</f>
        <v>324503</v>
      </c>
      <c r="I132" s="47"/>
      <c r="J132" s="45"/>
    </row>
    <row r="133" spans="2:10" ht="30">
      <c r="B133" s="20" t="s">
        <v>42</v>
      </c>
      <c r="C133" s="24"/>
      <c r="D133" s="20"/>
      <c r="E133" s="25" t="s">
        <v>73</v>
      </c>
      <c r="F133" s="54"/>
      <c r="G133" s="45">
        <f t="shared" si="11"/>
        <v>324503</v>
      </c>
      <c r="H133" s="45">
        <f>SUM(H134:H136)</f>
        <v>324503</v>
      </c>
      <c r="I133" s="47"/>
      <c r="J133" s="45"/>
    </row>
    <row r="134" spans="2:10" ht="15">
      <c r="B134" s="93" t="s">
        <v>177</v>
      </c>
      <c r="C134" s="76">
        <v>3210</v>
      </c>
      <c r="D134" s="76">
        <v>1050</v>
      </c>
      <c r="E134" s="75" t="s">
        <v>142</v>
      </c>
      <c r="F134" s="54"/>
      <c r="G134" s="47">
        <f t="shared" si="11"/>
        <v>324503</v>
      </c>
      <c r="H134" s="47">
        <f>100000+50000+100000+74503</f>
        <v>324503</v>
      </c>
      <c r="I134" s="47"/>
      <c r="J134" s="45"/>
    </row>
    <row r="135" spans="2:10" ht="60" hidden="1">
      <c r="B135" s="20" t="s">
        <v>133</v>
      </c>
      <c r="C135" s="21">
        <v>6020</v>
      </c>
      <c r="D135" s="22" t="s">
        <v>43</v>
      </c>
      <c r="E135" s="23" t="s">
        <v>134</v>
      </c>
      <c r="F135" s="54"/>
      <c r="G135" s="47">
        <f t="shared" si="11"/>
        <v>0</v>
      </c>
      <c r="H135" s="47">
        <f>50000-50000</f>
        <v>0</v>
      </c>
      <c r="I135" s="47"/>
      <c r="J135" s="45"/>
    </row>
    <row r="136" spans="2:10" ht="15" hidden="1">
      <c r="B136" s="20" t="s">
        <v>84</v>
      </c>
      <c r="C136" s="21">
        <v>6030</v>
      </c>
      <c r="D136" s="22" t="s">
        <v>43</v>
      </c>
      <c r="E136" s="40" t="s">
        <v>85</v>
      </c>
      <c r="F136" s="54"/>
      <c r="G136" s="47">
        <f t="shared" si="11"/>
        <v>0</v>
      </c>
      <c r="H136" s="47">
        <f>50000-50000</f>
        <v>0</v>
      </c>
      <c r="I136" s="47"/>
      <c r="J136" s="45"/>
    </row>
    <row r="137" spans="2:10" ht="42.75">
      <c r="B137" s="20"/>
      <c r="C137" s="21"/>
      <c r="D137" s="22"/>
      <c r="E137" s="40"/>
      <c r="F137" s="67" t="s">
        <v>145</v>
      </c>
      <c r="G137" s="45">
        <f aca="true" t="shared" si="12" ref="G137:H139">G138</f>
        <v>43845</v>
      </c>
      <c r="H137" s="45">
        <f t="shared" si="12"/>
        <v>43845</v>
      </c>
      <c r="I137" s="47"/>
      <c r="J137" s="45"/>
    </row>
    <row r="138" spans="2:10" ht="44.25">
      <c r="B138" s="24">
        <v>1000000</v>
      </c>
      <c r="C138" s="21"/>
      <c r="D138" s="22"/>
      <c r="E138" s="60" t="s">
        <v>109</v>
      </c>
      <c r="F138" s="54"/>
      <c r="G138" s="45">
        <f t="shared" si="12"/>
        <v>43845</v>
      </c>
      <c r="H138" s="45">
        <f t="shared" si="12"/>
        <v>43845</v>
      </c>
      <c r="I138" s="47"/>
      <c r="J138" s="45"/>
    </row>
    <row r="139" spans="2:10" ht="44.25">
      <c r="B139" s="24">
        <v>1010000</v>
      </c>
      <c r="C139" s="21"/>
      <c r="D139" s="22"/>
      <c r="E139" s="60" t="s">
        <v>110</v>
      </c>
      <c r="F139" s="54"/>
      <c r="G139" s="45">
        <f t="shared" si="12"/>
        <v>43845</v>
      </c>
      <c r="H139" s="45">
        <f t="shared" si="12"/>
        <v>43845</v>
      </c>
      <c r="I139" s="47"/>
      <c r="J139" s="45"/>
    </row>
    <row r="140" spans="2:10" ht="15">
      <c r="B140" s="20" t="s">
        <v>178</v>
      </c>
      <c r="C140" s="21">
        <v>6030</v>
      </c>
      <c r="D140" s="22" t="s">
        <v>43</v>
      </c>
      <c r="E140" s="40" t="s">
        <v>85</v>
      </c>
      <c r="F140" s="54"/>
      <c r="G140" s="47">
        <f>H140+I140</f>
        <v>43845</v>
      </c>
      <c r="H140" s="47">
        <f>70000+50000-27655-48500</f>
        <v>43845</v>
      </c>
      <c r="I140" s="47"/>
      <c r="J140" s="45"/>
    </row>
    <row r="141" spans="2:10" ht="85.5">
      <c r="B141" s="20"/>
      <c r="C141" s="21"/>
      <c r="D141" s="22"/>
      <c r="E141" s="40"/>
      <c r="F141" s="67" t="s">
        <v>146</v>
      </c>
      <c r="G141" s="45">
        <f aca="true" t="shared" si="13" ref="G141:H143">G142</f>
        <v>64000</v>
      </c>
      <c r="H141" s="45">
        <f t="shared" si="13"/>
        <v>64000</v>
      </c>
      <c r="I141" s="47"/>
      <c r="J141" s="45"/>
    </row>
    <row r="142" spans="2:10" ht="29.25">
      <c r="B142" s="24">
        <v>3700000</v>
      </c>
      <c r="C142" s="21"/>
      <c r="D142" s="22"/>
      <c r="E142" s="81" t="s">
        <v>147</v>
      </c>
      <c r="F142" s="54"/>
      <c r="G142" s="45">
        <f t="shared" si="13"/>
        <v>64000</v>
      </c>
      <c r="H142" s="45">
        <f t="shared" si="13"/>
        <v>64000</v>
      </c>
      <c r="I142" s="47"/>
      <c r="J142" s="45"/>
    </row>
    <row r="143" spans="2:10" ht="29.25">
      <c r="B143" s="24">
        <v>3710000</v>
      </c>
      <c r="C143" s="21"/>
      <c r="D143" s="22"/>
      <c r="E143" s="81" t="s">
        <v>147</v>
      </c>
      <c r="F143" s="54"/>
      <c r="G143" s="45">
        <f t="shared" si="13"/>
        <v>64000</v>
      </c>
      <c r="H143" s="45">
        <f t="shared" si="13"/>
        <v>64000</v>
      </c>
      <c r="I143" s="47"/>
      <c r="J143" s="45"/>
    </row>
    <row r="144" spans="2:10" ht="45">
      <c r="B144" s="24">
        <v>3719800</v>
      </c>
      <c r="C144" s="21">
        <v>9880</v>
      </c>
      <c r="D144" s="22" t="s">
        <v>15</v>
      </c>
      <c r="E144" s="35" t="s">
        <v>148</v>
      </c>
      <c r="F144" s="54"/>
      <c r="G144" s="47">
        <f>H144+I144</f>
        <v>64000</v>
      </c>
      <c r="H144" s="47">
        <f>49000+15000</f>
        <v>64000</v>
      </c>
      <c r="I144" s="47"/>
      <c r="J144" s="45"/>
    </row>
    <row r="145" spans="2:10" ht="42.75">
      <c r="B145" s="24"/>
      <c r="C145" s="21"/>
      <c r="D145" s="22"/>
      <c r="E145" s="35"/>
      <c r="F145" s="67" t="s">
        <v>149</v>
      </c>
      <c r="G145" s="45">
        <f aca="true" t="shared" si="14" ref="G145:H147">G146</f>
        <v>371924</v>
      </c>
      <c r="H145" s="45">
        <f t="shared" si="14"/>
        <v>371924</v>
      </c>
      <c r="I145" s="47"/>
      <c r="J145" s="45"/>
    </row>
    <row r="146" spans="2:10" ht="15">
      <c r="B146" s="20" t="s">
        <v>41</v>
      </c>
      <c r="C146" s="24"/>
      <c r="D146" s="20"/>
      <c r="E146" s="25" t="s">
        <v>71</v>
      </c>
      <c r="F146" s="54"/>
      <c r="G146" s="45">
        <f t="shared" si="14"/>
        <v>371924</v>
      </c>
      <c r="H146" s="45">
        <f t="shared" si="14"/>
        <v>371924</v>
      </c>
      <c r="I146" s="47"/>
      <c r="J146" s="45"/>
    </row>
    <row r="147" spans="2:10" ht="30">
      <c r="B147" s="20" t="s">
        <v>42</v>
      </c>
      <c r="C147" s="24"/>
      <c r="D147" s="20"/>
      <c r="E147" s="25" t="s">
        <v>73</v>
      </c>
      <c r="F147" s="54"/>
      <c r="G147" s="45">
        <f t="shared" si="14"/>
        <v>371924</v>
      </c>
      <c r="H147" s="45">
        <f t="shared" si="14"/>
        <v>371924</v>
      </c>
      <c r="I147" s="47"/>
      <c r="J147" s="45"/>
    </row>
    <row r="148" spans="2:10" ht="15">
      <c r="B148" s="20" t="s">
        <v>151</v>
      </c>
      <c r="C148" s="21">
        <v>7413</v>
      </c>
      <c r="D148" s="22" t="s">
        <v>152</v>
      </c>
      <c r="E148" s="31" t="s">
        <v>153</v>
      </c>
      <c r="F148" s="54"/>
      <c r="G148" s="47">
        <f>H148+I148</f>
        <v>371924</v>
      </c>
      <c r="H148" s="47">
        <f>49900+100000+65000+90000+67024</f>
        <v>371924</v>
      </c>
      <c r="I148" s="47"/>
      <c r="J148" s="45"/>
    </row>
    <row r="149" spans="2:10" ht="71.25">
      <c r="B149" s="20"/>
      <c r="C149" s="21"/>
      <c r="D149" s="22"/>
      <c r="E149" s="31"/>
      <c r="F149" s="66" t="s">
        <v>160</v>
      </c>
      <c r="G149" s="45">
        <f>H149</f>
        <v>100000</v>
      </c>
      <c r="H149" s="45">
        <f>H150</f>
        <v>100000</v>
      </c>
      <c r="I149" s="47"/>
      <c r="J149" s="45"/>
    </row>
    <row r="150" spans="2:10" ht="29.25">
      <c r="B150" s="24">
        <v>3700000</v>
      </c>
      <c r="C150" s="21"/>
      <c r="D150" s="22"/>
      <c r="E150" s="81" t="s">
        <v>147</v>
      </c>
      <c r="F150" s="54"/>
      <c r="G150" s="45">
        <f>H150</f>
        <v>100000</v>
      </c>
      <c r="H150" s="45">
        <f>H151</f>
        <v>100000</v>
      </c>
      <c r="I150" s="47"/>
      <c r="J150" s="45"/>
    </row>
    <row r="151" spans="2:10" ht="29.25">
      <c r="B151" s="24">
        <v>3710000</v>
      </c>
      <c r="C151" s="21"/>
      <c r="D151" s="22"/>
      <c r="E151" s="81" t="s">
        <v>147</v>
      </c>
      <c r="F151" s="54"/>
      <c r="G151" s="45">
        <f>H151</f>
        <v>100000</v>
      </c>
      <c r="H151" s="45">
        <f>H153</f>
        <v>100000</v>
      </c>
      <c r="I151" s="47"/>
      <c r="J151" s="45"/>
    </row>
    <row r="152" spans="2:10" ht="15" hidden="1">
      <c r="B152" s="20"/>
      <c r="C152" s="21"/>
      <c r="D152" s="22"/>
      <c r="E152" s="81"/>
      <c r="F152" s="54"/>
      <c r="G152" s="45"/>
      <c r="H152" s="45"/>
      <c r="I152" s="47"/>
      <c r="J152" s="45"/>
    </row>
    <row r="153" spans="2:10" ht="45">
      <c r="B153" s="24">
        <v>3719800</v>
      </c>
      <c r="C153" s="21">
        <v>9880</v>
      </c>
      <c r="D153" s="22" t="s">
        <v>15</v>
      </c>
      <c r="E153" s="35" t="s">
        <v>148</v>
      </c>
      <c r="F153" s="54"/>
      <c r="G153" s="47">
        <f>H153</f>
        <v>100000</v>
      </c>
      <c r="H153" s="47">
        <f>100000</f>
        <v>100000</v>
      </c>
      <c r="I153" s="47"/>
      <c r="J153" s="45"/>
    </row>
    <row r="154" spans="2:10" ht="71.25">
      <c r="B154" s="20"/>
      <c r="C154" s="21"/>
      <c r="D154" s="22"/>
      <c r="E154" s="31"/>
      <c r="F154" s="94" t="s">
        <v>170</v>
      </c>
      <c r="G154" s="45">
        <f>SUM(G155)</f>
        <v>554100</v>
      </c>
      <c r="H154" s="45"/>
      <c r="I154" s="45">
        <f>SUM(I155)</f>
        <v>554100</v>
      </c>
      <c r="J154" s="45">
        <v>554100</v>
      </c>
    </row>
    <row r="155" spans="2:10" ht="29.25">
      <c r="B155" s="24">
        <v>3700000</v>
      </c>
      <c r="C155" s="21"/>
      <c r="D155" s="22"/>
      <c r="E155" s="81" t="s">
        <v>147</v>
      </c>
      <c r="F155" s="54"/>
      <c r="G155" s="45">
        <f>SUM(G156)</f>
        <v>554100</v>
      </c>
      <c r="H155" s="45"/>
      <c r="I155" s="45">
        <v>554100</v>
      </c>
      <c r="J155" s="45">
        <v>554100</v>
      </c>
    </row>
    <row r="156" spans="2:10" ht="29.25">
      <c r="B156" s="24">
        <v>3710000</v>
      </c>
      <c r="C156" s="21"/>
      <c r="D156" s="22"/>
      <c r="E156" s="81" t="s">
        <v>147</v>
      </c>
      <c r="F156" s="54"/>
      <c r="G156" s="48">
        <f>H156+I156</f>
        <v>554100</v>
      </c>
      <c r="H156" s="48"/>
      <c r="I156" s="48">
        <v>554100</v>
      </c>
      <c r="J156" s="48">
        <v>554100</v>
      </c>
    </row>
    <row r="157" spans="2:10" ht="45">
      <c r="B157" s="24">
        <v>3719800</v>
      </c>
      <c r="C157" s="21">
        <v>9880</v>
      </c>
      <c r="D157" s="22" t="s">
        <v>15</v>
      </c>
      <c r="E157" s="35" t="s">
        <v>148</v>
      </c>
      <c r="F157" s="54"/>
      <c r="G157" s="48">
        <f>H157+I157</f>
        <v>554100</v>
      </c>
      <c r="H157" s="47"/>
      <c r="I157" s="47">
        <f>560000-5900</f>
        <v>554100</v>
      </c>
      <c r="J157" s="47">
        <f>560000-5900</f>
        <v>554100</v>
      </c>
    </row>
    <row r="158" spans="2:10" ht="33.75" customHeight="1">
      <c r="B158" s="10"/>
      <c r="C158" s="10"/>
      <c r="D158" s="15"/>
      <c r="E158" s="9" t="s">
        <v>2</v>
      </c>
      <c r="F158" s="57"/>
      <c r="G158" s="45">
        <f>SUM(H158:I158)</f>
        <v>117809733</v>
      </c>
      <c r="H158" s="49">
        <f>SUM(H7+H13+H17+H21+H32+H36+H40+H51+H57+H64+H79+H83+H87+H119+H123+H127+H131+H137+H141+H145+H149)</f>
        <v>61153387</v>
      </c>
      <c r="I158" s="49">
        <f>SUM(I7+I13+I17+I21+I32+I36+I40+I51+I57+I64+I79+I83+I87+I119+I123+I115+I137+I141+I154)</f>
        <v>56656346</v>
      </c>
      <c r="J158" s="49">
        <f>SUM(J7+J13+J17+J21+J32+J36+J40+J51+J57+J64+J79+J83+J87+J119+J123+J115+J137+J141+J154)</f>
        <v>40838267</v>
      </c>
    </row>
    <row r="159" spans="2:10" ht="33.75" customHeight="1">
      <c r="B159" s="87"/>
      <c r="C159" s="87"/>
      <c r="D159" s="88"/>
      <c r="E159" s="89"/>
      <c r="F159" s="90"/>
      <c r="G159" s="91"/>
      <c r="H159" s="92"/>
      <c r="I159" s="92"/>
      <c r="J159" s="92"/>
    </row>
    <row r="161" spans="2:10" ht="23.25" customHeight="1">
      <c r="B161" s="97" t="s">
        <v>168</v>
      </c>
      <c r="C161" s="97"/>
      <c r="D161" s="97"/>
      <c r="E161" s="97"/>
      <c r="F161" s="97"/>
      <c r="G161" s="97"/>
      <c r="H161" s="97"/>
      <c r="I161" s="97"/>
      <c r="J161" s="97"/>
    </row>
    <row r="162" spans="2:18" ht="20.25" customHeight="1">
      <c r="B162" s="100"/>
      <c r="C162" s="100"/>
      <c r="D162" s="100"/>
      <c r="E162" s="100"/>
      <c r="F162" s="100"/>
      <c r="G162" s="100"/>
      <c r="H162" s="100"/>
      <c r="I162" s="100"/>
      <c r="J162" s="100"/>
      <c r="K162" s="19"/>
      <c r="L162" s="19"/>
      <c r="M162" s="19"/>
      <c r="N162" s="19"/>
      <c r="O162" s="19"/>
      <c r="P162" s="19"/>
      <c r="Q162" s="19"/>
      <c r="R162" s="19"/>
    </row>
    <row r="163" spans="2:18" ht="20.25" customHeight="1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</row>
    <row r="164" spans="2:18" ht="30.75" customHeight="1">
      <c r="B164" s="100"/>
      <c r="C164" s="100"/>
      <c r="D164" s="100"/>
      <c r="E164" s="100"/>
      <c r="F164" s="100"/>
      <c r="G164" s="100"/>
      <c r="H164" s="100"/>
      <c r="I164" s="100"/>
      <c r="J164" s="100"/>
      <c r="K164" s="19"/>
      <c r="L164" s="19"/>
      <c r="M164" s="19"/>
      <c r="N164" s="19"/>
      <c r="O164" s="19"/>
      <c r="P164" s="19"/>
      <c r="Q164" s="19"/>
      <c r="R164" s="19"/>
    </row>
    <row r="165" spans="2:18" ht="21" customHeight="1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</row>
  </sheetData>
  <sheetProtection/>
  <mergeCells count="16">
    <mergeCell ref="H5:H6"/>
    <mergeCell ref="I5:J5"/>
    <mergeCell ref="D5:D6"/>
    <mergeCell ref="E5:E6"/>
    <mergeCell ref="F5:F6"/>
    <mergeCell ref="G5:G6"/>
    <mergeCell ref="C3:J3"/>
    <mergeCell ref="B165:R165"/>
    <mergeCell ref="B161:J161"/>
    <mergeCell ref="B1:J1"/>
    <mergeCell ref="G2:J2"/>
    <mergeCell ref="B162:J162"/>
    <mergeCell ref="B164:J164"/>
    <mergeCell ref="B163:R163"/>
    <mergeCell ref="B5:B6"/>
    <mergeCell ref="C5:C6"/>
  </mergeCells>
  <printOptions/>
  <pageMargins left="0.5905511811023623" right="0.5118110236220472" top="1.1811023622047245" bottom="0.6299212598425197" header="0.35433070866141736" footer="0.35433070866141736"/>
  <pageSetup fitToHeight="32" horizontalDpi="600" verticalDpi="600" orientation="landscape" paperSize="9" scale="61" r:id="rId1"/>
  <headerFooter alignWithMargins="0">
    <oddFooter>&amp;R&amp;P</oddFooter>
  </headerFooter>
  <rowBreaks count="7" manualBreakCount="7">
    <brk id="16" min="1" max="9" man="1"/>
    <brk id="31" min="1" max="9" man="1"/>
    <brk id="50" min="1" max="9" man="1"/>
    <brk id="73" min="1" max="9" man="1"/>
    <brk id="94" min="1" max="9" man="1"/>
    <brk id="122" min="1" max="9" man="1"/>
    <brk id="14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2021-12-28T10:41:29Z</cp:lastPrinted>
  <dcterms:created xsi:type="dcterms:W3CDTF">2014-01-17T10:52:16Z</dcterms:created>
  <dcterms:modified xsi:type="dcterms:W3CDTF">2021-12-28T10:41:33Z</dcterms:modified>
  <cp:category/>
  <cp:version/>
  <cp:contentType/>
  <cp:contentStatus/>
</cp:coreProperties>
</file>