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activeTab="0"/>
  </bookViews>
  <sheets>
    <sheet name="дод.2" sheetId="1" r:id="rId1"/>
  </sheets>
  <definedNames>
    <definedName name="_xlfn.AGGREGATE" hidden="1">#NAME?</definedName>
    <definedName name="_xlnm.Print_Titles" localSheetId="0">'дод.2'!$4:$6</definedName>
    <definedName name="_xlnm.Print_Area" localSheetId="0">'дод.2'!$B$1:$S$82</definedName>
  </definedNames>
  <calcPr fullCalcOnLoad="1"/>
</workbook>
</file>

<file path=xl/sharedStrings.xml><?xml version="1.0" encoding="utf-8"?>
<sst xmlns="http://schemas.openxmlformats.org/spreadsheetml/2006/main" count="195" uniqueCount="158">
  <si>
    <t>1010</t>
  </si>
  <si>
    <t>1090</t>
  </si>
  <si>
    <t>0490</t>
  </si>
  <si>
    <t>0828</t>
  </si>
  <si>
    <t>0620</t>
  </si>
  <si>
    <t>0824</t>
  </si>
  <si>
    <t>Компенсаційні виплати на пільговий проїзд окремих категорій громадян на залізничному транспорті</t>
  </si>
  <si>
    <t xml:space="preserve">Надання пільг окремим категорім громадян з оплати послуг зв"зку 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</si>
  <si>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</si>
  <si>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t>0456</t>
  </si>
  <si>
    <t>Здійснення заходів та реалізація проектів на виконання Державної цільової соціальної програми "Молодь України"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</si>
  <si>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</si>
  <si>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</si>
  <si>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</si>
  <si>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</si>
  <si>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</si>
  <si>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</si>
  <si>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</si>
  <si>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</si>
  <si>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</si>
  <si>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</si>
  <si>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>0100000</t>
  </si>
  <si>
    <t>бюджет розвитку</t>
  </si>
  <si>
    <t xml:space="preserve">Всього </t>
  </si>
  <si>
    <t>0731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</si>
  <si>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</si>
  <si>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</si>
  <si>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</si>
  <si>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1020</t>
  </si>
  <si>
    <t>1030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</si>
  <si>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</si>
  <si>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</si>
  <si>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</si>
  <si>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0763</t>
  </si>
  <si>
    <t>0921</t>
  </si>
  <si>
    <t>0960</t>
  </si>
  <si>
    <t>0990</t>
  </si>
  <si>
    <t>Утримання та навчально-тренувальна робота комунальних дитячо-юнацьких спортивних шкіл</t>
  </si>
  <si>
    <t>1070</t>
  </si>
  <si>
    <t>0110150</t>
  </si>
  <si>
    <t>0150</t>
  </si>
  <si>
    <t>Надання інших пільг окремим категоріям громадян відповідно до законодавства</t>
  </si>
  <si>
    <t>Забезпечення діяльності бібліотек</t>
  </si>
  <si>
    <t>Забезпечення діяльності музеїв і виставок</t>
  </si>
  <si>
    <t>0600000</t>
  </si>
  <si>
    <t>0610000</t>
  </si>
  <si>
    <t>0615031</t>
  </si>
  <si>
    <t>0800000</t>
  </si>
  <si>
    <t>0810000</t>
  </si>
  <si>
    <t>0813031</t>
  </si>
  <si>
    <t>0813032</t>
  </si>
  <si>
    <t>0813035</t>
  </si>
  <si>
    <t>0813033</t>
  </si>
  <si>
    <t>Компенсаційні виплати на пільговий проїзд автомобільним транспортом окремим категоріям громадян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</si>
  <si>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</si>
  <si>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</si>
  <si>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Інші заходи у сфері соціального захисту і соціального забезпечення</t>
  </si>
  <si>
    <t>0813242</t>
  </si>
  <si>
    <t>0829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</si>
  <si>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</si>
  <si>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</si>
  <si>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0726</t>
  </si>
  <si>
    <t>Забезпечення діяльності палаців i будинків культури, клубів, центрів дозвілля та iнших клубних закладів</t>
  </si>
  <si>
    <t>Інша діяльність у сфері житлово-комунального господарства</t>
  </si>
  <si>
    <t>0640</t>
  </si>
  <si>
    <t>0117680</t>
  </si>
  <si>
    <t>Код Функціональної класифікації видатків та кредитування бюджету</t>
  </si>
  <si>
    <t>Забезпечення діяльності інших закладів у сфері освіти</t>
  </si>
  <si>
    <t>Інші програми та заходи у сфері освіти</t>
  </si>
  <si>
    <t>Первинна медична допомога населенню, що надається центрами первинної медичної (медико-санірної) допомоги</t>
  </si>
  <si>
    <t>усього</t>
  </si>
  <si>
    <t>у тому числі бюджет розвитку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</si>
  <si>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</si>
  <si>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</si>
  <si>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Централізовані заходи з лікування онкологічних хворих</t>
  </si>
  <si>
    <t>1013131</t>
  </si>
  <si>
    <t>1015011</t>
  </si>
  <si>
    <t>1015012</t>
  </si>
  <si>
    <t>(грн.)</t>
  </si>
  <si>
    <t>Надання позашкільної освіти закладами  позашкільними освіти, заходи із позашкільної роботи з дітьми</t>
  </si>
  <si>
    <t>(код бюджету)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</si>
  <si>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</si>
  <si>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r>
      <t xml:space="preserve">Зміївська міська рада </t>
    </r>
    <r>
      <rPr>
        <i/>
        <sz val="11"/>
        <rFont val="Times New Roman"/>
        <family val="1"/>
      </rPr>
      <t>(головний розпорядник)</t>
    </r>
  </si>
  <si>
    <r>
      <t xml:space="preserve">Зміївська міська рада </t>
    </r>
    <r>
      <rPr>
        <i/>
        <sz val="11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</si>
  <si>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Багатопрофільна стаціонарна медична допомога населенню</t>
  </si>
  <si>
    <r>
      <t xml:space="preserve">Відділ освіти Зміївської міської ради </t>
    </r>
    <r>
      <rPr>
        <i/>
        <sz val="11"/>
        <color indexed="8"/>
        <rFont val="Times New Roman"/>
        <family val="1"/>
      </rPr>
      <t>(головний розпорядник)</t>
    </r>
  </si>
  <si>
    <r>
      <t xml:space="preserve">Відділ освіти Зміївської міської ради </t>
    </r>
    <r>
      <rPr>
        <i/>
        <sz val="11"/>
        <color indexed="8"/>
        <rFont val="Times New Roman"/>
        <family val="1"/>
      </rPr>
      <t>(відповідальний виконавець)</t>
    </r>
  </si>
  <si>
    <r>
      <t xml:space="preserve">Управління соціального захисту населення Зміївської міської ради </t>
    </r>
    <r>
      <rPr>
        <i/>
        <sz val="11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</si>
  <si>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0611010</t>
  </si>
  <si>
    <t>0610160</t>
  </si>
  <si>
    <t>0910</t>
  </si>
  <si>
    <t>0160</t>
  </si>
  <si>
    <t>Керівництво і управління у відповідній сфері у містах  (місті Києві), селищах, селах, об"єднаних  територіальних громадах</t>
  </si>
  <si>
    <t>Надання дошкільної освіти</t>
  </si>
  <si>
    <t>0810160</t>
  </si>
  <si>
    <t>3710160</t>
  </si>
  <si>
    <t>1015061</t>
  </si>
  <si>
    <t>1010160</t>
  </si>
  <si>
    <t>0112010</t>
  </si>
  <si>
    <t>0112111</t>
  </si>
  <si>
    <t>0112145</t>
  </si>
  <si>
    <t>0116030</t>
  </si>
  <si>
    <t>0116090</t>
  </si>
  <si>
    <t xml:space="preserve">Організація благоустрою населених пунктів </t>
  </si>
  <si>
    <t>Утримання та розвиток автомобільних доріг та дорожньої інфраструктури за рахунок коштів місцевого бюджету</t>
  </si>
  <si>
    <t xml:space="preserve">Членські внески до асоціацій органів місцевого самоврядування </t>
  </si>
  <si>
    <t>0813104</t>
  </si>
  <si>
    <t>0813140</t>
  </si>
  <si>
    <t>Забезаечення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</si>
  <si>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0118311</t>
  </si>
  <si>
    <t>0511</t>
  </si>
  <si>
    <t>Охорона та раціональне використання природних ресурсів</t>
  </si>
  <si>
    <t>0611021</t>
  </si>
  <si>
    <t>0611031</t>
  </si>
  <si>
    <t>0922</t>
  </si>
  <si>
    <t>Надання загальної середньої освіти закладами загальної середньої освіти</t>
  </si>
  <si>
    <t xml:space="preserve">Надання загальної середньої освіти закладами загальної середньої освіти, з них </t>
  </si>
  <si>
    <t>0611070</t>
  </si>
  <si>
    <t>0611152</t>
  </si>
  <si>
    <t>Забезпечення діяльності інклюзивно-ресурсних центрів за рахунок освітньої субвенції</t>
  </si>
  <si>
    <t>0611151</t>
  </si>
  <si>
    <t>Забезпечення діяльності інклюзивно-ресурсних центрів за рахунок коштів місцевого бюджету</t>
  </si>
  <si>
    <t>0611160</t>
  </si>
  <si>
    <t xml:space="preserve">Забезпечення діяльності центрів професійного розвитку педагогічних працівників </t>
  </si>
  <si>
    <t>0611141</t>
  </si>
  <si>
    <t>0611142</t>
  </si>
  <si>
    <r>
      <t xml:space="preserve">Управління соціального захисту населення Зміївської міської ради </t>
    </r>
    <r>
      <rPr>
        <i/>
        <sz val="11"/>
        <rFont val="Times New Roman"/>
        <family val="1"/>
      </rPr>
      <t>(головний розпорядник)</t>
    </r>
  </si>
  <si>
    <r>
      <t xml:space="preserve">Відділ культури, молоді, спорту та туризму Зміївської районної державної адміністрації </t>
    </r>
    <r>
      <rPr>
        <i/>
        <sz val="11"/>
        <rFont val="Times New Roman"/>
        <family val="1"/>
      </rPr>
      <t>(головний розпорядник)</t>
    </r>
  </si>
  <si>
    <r>
      <t xml:space="preserve">Відділ культури, молоді, спорту та туризму Зміївської районної державної адміністрації </t>
    </r>
    <r>
      <rPr>
        <i/>
        <sz val="11"/>
        <rFont val="Times New Roman"/>
        <family val="1"/>
      </rPr>
      <t xml:space="preserve">(відповідальний виконавець) </t>
    </r>
  </si>
  <si>
    <r>
      <t xml:space="preserve">Фінансове управління Зміївської міської ради </t>
    </r>
    <r>
      <rPr>
        <i/>
        <sz val="11"/>
        <rFont val="Times New Roman"/>
        <family val="1"/>
      </rPr>
      <t>(головний розпорядник)</t>
    </r>
  </si>
  <si>
    <r>
      <t>Фінансове управління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Зміївської міської ради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(відповідальний виконавець)</t>
    </r>
  </si>
  <si>
    <t>0117461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</si>
  <si>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</si>
  <si>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</si>
  <si>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0117370</t>
  </si>
  <si>
    <t>Реалізація інших заходів щодо соціально-економічного розвитку територій</t>
  </si>
  <si>
    <t>за рахунок освітньої субвенції 2022 року</t>
  </si>
  <si>
    <t>РОЗПОДІЛ
видатків міського бюджету  на 2022 рік</t>
  </si>
  <si>
    <t xml:space="preserve">Надання спеціалізованої освіти мистецькими школами </t>
  </si>
  <si>
    <t xml:space="preserve">Виконання інвестиційних проєктів за рахунок субвенцій з інших бюджетів </t>
  </si>
  <si>
    <t>0617368</t>
  </si>
  <si>
    <t>0117413</t>
  </si>
  <si>
    <t>0117322</t>
  </si>
  <si>
    <t>0117330</t>
  </si>
  <si>
    <t>0180</t>
  </si>
  <si>
    <t xml:space="preserve">Субвенція з місцевого бюджету на співфінансування інвестиційних проектів </t>
  </si>
  <si>
    <t>0443</t>
  </si>
  <si>
    <t>Будівництво медичних установ та закладів</t>
  </si>
  <si>
    <t>Будівництво інших об"єктів комунальної власності</t>
  </si>
  <si>
    <t>0451</t>
  </si>
  <si>
    <t>Інші заходи у сфері автотранспорту</t>
  </si>
  <si>
    <t>Субвенція з місцевого бюджету державному бюджету на виконання програм соціально-економічного розвитку регіонів: загальний фонд ( на виконання Цільової програми розвитку цивільного захисту на території Зміївської міської ради Чугуївського району Харківської області на 2021-2023 роки на придбання пально-мастильних матеріалів для 58 ДПРЧ 10 ДПРЗ ГУ ДСНС України у Харківській області в сумі 100 000 грн., на виконання Комплексної програми профілактики правопорушень на території Зміївської міської ради Чугуївського району Харківської області на 2021-2025 роки для зміцнення матеріально-технічної бази відділу у м. Чугуєві Управління СБ України в Харківській області  в сумі 300 000 грн.)</t>
  </si>
  <si>
    <t>0116012</t>
  </si>
  <si>
    <t>Забезпечення діяльності з виробництва, транспортування, постачання теплової енергії</t>
  </si>
  <si>
    <t xml:space="preserve">                                                                  Міський  голова                                                                                                                 Павло ГОЛОДНІКОВ</t>
  </si>
  <si>
    <t>0613230</t>
  </si>
  <si>
    <t>Видатки, пов"язаніз наданням підтримки внутрішньо переміщеним та/або евакуйованим особам  у зв"язку із веденням воєнного стану</t>
  </si>
  <si>
    <t>Додаток 2
до рішення міської  ради
від 23 червня 2022 року №2459-ХХVІІ-VIІІ 
( ХХVІІ сесія VIІІ скликання)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</si>
</sst>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* #,##0;* \-#,##0;* &quot;-&quot;;@"/>
    <numFmt numFmtId="191" formatCode="* #,##0.00;* \-#,##0.00;* &quot;-&quot;??;@"/>
    <numFmt numFmtId="192" formatCode="* _-#,##0&quot;р.&quot;;* \-#,##0&quot;р.&quot;;* _-&quot;-&quot;&quot;р.&quot;;@"/>
    <numFmt numFmtId="193" formatCode="* _-#,##0.00&quot;р.&quot;;* \-#,##0.00&quot;р.&quot;;* _-&quot;-&quot;??&quot;р.&quot;;@"/>
    <numFmt numFmtId="194" formatCode="#,##0.0"/>
    <numFmt numFmtId="195" formatCode="#,##0_ ;[Red]\-#,##0\ "/>
    <numFmt numFmtId="196" formatCode="#,##0.0_ ;[Red]\-#,##0.0\ "/>
    <numFmt numFmtId="197" formatCode="0.0"/>
    <numFmt numFmtId="198" formatCode="0.0000"/>
    <numFmt numFmtId="199" formatCode="#,##0.0000"/>
    <numFmt numFmtId="200" formatCode="00000000000"/>
    <numFmt numFmtId="201" formatCode="&quot;Так&quot;;&quot;Так&quot;;&quot;Ні&quot;"/>
    <numFmt numFmtId="202" formatCode="&quot;Істина&quot;;&quot;Істина&quot;;&quot;Хибність&quot;"/>
    <numFmt numFmtId="203" formatCode="&quot;Увімк&quot;;&quot;Увімк&quot;;&quot;Вимк&quot;"/>
    <numFmt numFmtId="204" formatCode="[$-FC19]d\ mmmm\ yyyy\ &quot;г.&quot;"/>
    <numFmt numFmtId="205" formatCode="&quot;True&quot;;&quot;True&quot;;&quot;False&quot;"/>
    <numFmt numFmtId="206" formatCode="[$¥€-2]\ ###,000_);[Red]\([$€-2]\ ###,000\)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00000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u val="single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1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13" borderId="1" applyNumberFormat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2" fillId="0" borderId="0" applyNumberForma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6" fillId="6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 vertical="top"/>
      <protection/>
    </xf>
    <xf numFmtId="0" fontId="10" fillId="0" borderId="6" applyNumberFormat="0" applyFill="0" applyAlignment="0" applyProtection="0"/>
    <xf numFmtId="0" fontId="13" fillId="0" borderId="7" applyNumberFormat="0" applyFill="0" applyAlignment="0" applyProtection="0"/>
    <xf numFmtId="0" fontId="11" fillId="25" borderId="8" applyNumberFormat="0" applyAlignment="0" applyProtection="0"/>
    <xf numFmtId="0" fontId="11" fillId="25" borderId="8" applyNumberFormat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45" fillId="26" borderId="1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10" applyNumberFormat="0" applyFont="0" applyAlignment="0" applyProtection="0"/>
    <xf numFmtId="0" fontId="0" fillId="10" borderId="10" applyNumberFormat="0" applyFont="0" applyAlignment="0" applyProtection="0"/>
    <xf numFmtId="193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1" applyNumberFormat="0" applyFill="0" applyAlignment="0" applyProtection="0"/>
    <xf numFmtId="0" fontId="46" fillId="13" borderId="0" applyNumberFormat="0" applyBorder="0" applyAlignment="0" applyProtection="0"/>
    <xf numFmtId="0" fontId="20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0" fontId="0" fillId="26" borderId="13" xfId="0" applyNumberFormat="1" applyFont="1" applyFill="1" applyBorder="1" applyAlignment="1" applyProtection="1">
      <alignment/>
      <protection/>
    </xf>
    <xf numFmtId="0" fontId="0" fillId="26" borderId="14" xfId="0" applyNumberFormat="1" applyFont="1" applyFill="1" applyBorder="1" applyAlignment="1" applyProtection="1">
      <alignment/>
      <protection/>
    </xf>
    <xf numFmtId="0" fontId="0" fillId="26" borderId="15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Alignment="1" applyProtection="1">
      <alignment vertical="center"/>
      <protection/>
    </xf>
    <xf numFmtId="49" fontId="26" fillId="26" borderId="16" xfId="0" applyNumberFormat="1" applyFont="1" applyFill="1" applyBorder="1" applyAlignment="1">
      <alignment horizontal="center" vertical="center" wrapText="1"/>
    </xf>
    <xf numFmtId="0" fontId="26" fillId="26" borderId="16" xfId="0" applyFont="1" applyFill="1" applyBorder="1" applyAlignment="1">
      <alignment horizontal="justify" vertical="center" wrapText="1"/>
    </xf>
    <xf numFmtId="0" fontId="0" fillId="26" borderId="0" xfId="0" applyFont="1" applyFill="1" applyAlignment="1">
      <alignment vertical="center"/>
    </xf>
    <xf numFmtId="49" fontId="27" fillId="26" borderId="16" xfId="0" applyNumberFormat="1" applyFont="1" applyFill="1" applyBorder="1" applyAlignment="1">
      <alignment horizontal="center" vertical="center" wrapText="1"/>
    </xf>
    <xf numFmtId="0" fontId="26" fillId="26" borderId="16" xfId="0" applyFont="1" applyFill="1" applyBorder="1" applyAlignment="1">
      <alignment horizontal="center" vertical="center" wrapText="1"/>
    </xf>
    <xf numFmtId="0" fontId="27" fillId="26" borderId="16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center" wrapText="1" shrinkToFit="1"/>
    </xf>
    <xf numFmtId="49" fontId="27" fillId="0" borderId="16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 applyProtection="1">
      <alignment horizontal="center" vertical="center"/>
      <protection/>
    </xf>
    <xf numFmtId="0" fontId="27" fillId="0" borderId="16" xfId="0" applyFont="1" applyBorder="1" applyAlignment="1">
      <alignment horizontal="left" vertical="center" wrapText="1" shrinkToFit="1"/>
    </xf>
    <xf numFmtId="0" fontId="27" fillId="0" borderId="16" xfId="0" applyFont="1" applyBorder="1" applyAlignment="1">
      <alignment horizontal="justify" wrapText="1"/>
    </xf>
    <xf numFmtId="49" fontId="26" fillId="0" borderId="16" xfId="0" applyNumberFormat="1" applyFont="1" applyFill="1" applyBorder="1" applyAlignment="1">
      <alignment horizontal="center" vertical="center" wrapText="1"/>
    </xf>
    <xf numFmtId="0" fontId="26" fillId="26" borderId="16" xfId="0" applyFont="1" applyFill="1" applyBorder="1" applyAlignment="1" applyProtection="1">
      <alignment horizontal="justify" vertical="center" wrapText="1"/>
      <protection locked="0"/>
    </xf>
    <xf numFmtId="0" fontId="27" fillId="0" borderId="16" xfId="0" applyFont="1" applyFill="1" applyBorder="1" applyAlignment="1" applyProtection="1">
      <alignment horizontal="left" vertical="center" wrapText="1"/>
      <protection locked="0"/>
    </xf>
    <xf numFmtId="0" fontId="32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16" xfId="0" applyNumberFormat="1" applyFont="1" applyBorder="1" applyAlignment="1" applyProtection="1">
      <alignment vertical="center" wrapText="1"/>
      <protection locked="0"/>
    </xf>
    <xf numFmtId="0" fontId="27" fillId="0" borderId="16" xfId="0" applyFont="1" applyBorder="1" applyAlignment="1" applyProtection="1">
      <alignment horizontal="left" vertical="center" wrapText="1"/>
      <protection locked="0"/>
    </xf>
    <xf numFmtId="0" fontId="26" fillId="26" borderId="16" xfId="0" applyFont="1" applyFill="1" applyBorder="1" applyAlignment="1" applyProtection="1">
      <alignment vertical="center" wrapText="1"/>
      <protection locked="0"/>
    </xf>
    <xf numFmtId="0" fontId="31" fillId="0" borderId="16" xfId="105" applyFont="1" applyFill="1" applyBorder="1" applyAlignment="1" applyProtection="1">
      <alignment horizontal="left" vertical="center" wrapText="1"/>
      <protection locked="0"/>
    </xf>
    <xf numFmtId="0" fontId="27" fillId="0" borderId="16" xfId="0" applyFont="1" applyBorder="1" applyAlignment="1" applyProtection="1">
      <alignment horizontal="justify" wrapText="1"/>
      <protection locked="0"/>
    </xf>
    <xf numFmtId="0" fontId="26" fillId="0" borderId="16" xfId="0" applyFont="1" applyBorder="1" applyAlignment="1" applyProtection="1">
      <alignment horizontal="left" vertical="center" wrapText="1"/>
      <protection locked="0"/>
    </xf>
    <xf numFmtId="0" fontId="27" fillId="0" borderId="16" xfId="0" applyFont="1" applyBorder="1" applyAlignment="1">
      <alignment wrapText="1"/>
    </xf>
    <xf numFmtId="3" fontId="28" fillId="26" borderId="16" xfId="95" applyNumberFormat="1" applyFont="1" applyFill="1" applyBorder="1">
      <alignment vertical="top"/>
      <protection/>
    </xf>
    <xf numFmtId="3" fontId="28" fillId="26" borderId="16" xfId="95" applyNumberFormat="1" applyFont="1" applyFill="1" applyBorder="1" applyAlignment="1">
      <alignment vertical="center"/>
      <protection/>
    </xf>
    <xf numFmtId="3" fontId="29" fillId="26" borderId="16" xfId="95" applyNumberFormat="1" applyFont="1" applyFill="1" applyBorder="1">
      <alignment vertical="top"/>
      <protection/>
    </xf>
    <xf numFmtId="3" fontId="29" fillId="26" borderId="16" xfId="95" applyNumberFormat="1" applyFont="1" applyFill="1" applyBorder="1" applyAlignment="1">
      <alignment vertical="center" wrapText="1"/>
      <protection/>
    </xf>
    <xf numFmtId="3" fontId="34" fillId="26" borderId="16" xfId="95" applyNumberFormat="1" applyFont="1" applyFill="1" applyBorder="1">
      <alignment vertical="top"/>
      <protection/>
    </xf>
    <xf numFmtId="49" fontId="27" fillId="0" borderId="16" xfId="0" applyNumberFormat="1" applyFont="1" applyBorder="1" applyAlignment="1" applyProtection="1">
      <alignment horizontal="justify" vertical="center" wrapText="1"/>
      <protection locked="0"/>
    </xf>
    <xf numFmtId="3" fontId="0" fillId="26" borderId="16" xfId="95" applyNumberFormat="1" applyFont="1" applyFill="1" applyBorder="1">
      <alignment vertical="top"/>
      <protection/>
    </xf>
    <xf numFmtId="49" fontId="27" fillId="0" borderId="16" xfId="0" applyNumberFormat="1" applyFont="1" applyBorder="1" applyAlignment="1" applyProtection="1">
      <alignment wrapText="1"/>
      <protection locked="0"/>
    </xf>
    <xf numFmtId="0" fontId="27" fillId="0" borderId="16" xfId="0" applyFont="1" applyBorder="1" applyAlignment="1" applyProtection="1">
      <alignment horizontal="justify" vertical="center" wrapText="1"/>
      <protection locked="0"/>
    </xf>
    <xf numFmtId="0" fontId="27" fillId="0" borderId="16" xfId="0" applyFont="1" applyBorder="1" applyAlignment="1" applyProtection="1">
      <alignment wrapText="1"/>
      <protection locked="0"/>
    </xf>
    <xf numFmtId="0" fontId="27" fillId="0" borderId="16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justify" vertical="center" wrapText="1"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right" vertical="center"/>
      <protection/>
    </xf>
    <xf numFmtId="0" fontId="27" fillId="0" borderId="16" xfId="0" applyNumberFormat="1" applyFont="1" applyFill="1" applyBorder="1" applyAlignment="1" applyProtection="1">
      <alignment horizontal="center" vertical="center"/>
      <protection/>
    </xf>
    <xf numFmtId="0" fontId="27" fillId="0" borderId="16" xfId="0" applyFont="1" applyFill="1" applyBorder="1" applyAlignment="1">
      <alignment horizontal="center" vertical="center"/>
    </xf>
    <xf numFmtId="3" fontId="36" fillId="26" borderId="16" xfId="0" applyNumberFormat="1" applyFont="1" applyFill="1" applyBorder="1" applyAlignment="1">
      <alignment vertical="justify"/>
    </xf>
    <xf numFmtId="0" fontId="31" fillId="0" borderId="16" xfId="0" applyFont="1" applyBorder="1" applyAlignment="1">
      <alignment horizontal="justify" vertical="center" wrapText="1"/>
    </xf>
    <xf numFmtId="0" fontId="35" fillId="26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 horizontal="center" wrapText="1"/>
      <protection/>
    </xf>
    <xf numFmtId="0" fontId="31" fillId="0" borderId="16" xfId="0" applyFont="1" applyFill="1" applyBorder="1" applyAlignment="1" applyProtection="1">
      <alignment horizontal="justify" vertical="center" wrapText="1"/>
      <protection locked="0"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0" fillId="26" borderId="0" xfId="0" applyNumberFormat="1" applyFont="1" applyFill="1" applyBorder="1" applyAlignment="1" applyProtection="1">
      <alignment vertical="center" wrapText="1"/>
      <protection/>
    </xf>
    <xf numFmtId="3" fontId="0" fillId="26" borderId="0" xfId="0" applyNumberFormat="1" applyFont="1" applyFill="1" applyBorder="1" applyAlignment="1" applyProtection="1">
      <alignment horizontal="left" vertical="center" wrapText="1"/>
      <protection/>
    </xf>
    <xf numFmtId="1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16" xfId="0" applyFont="1" applyBorder="1" applyAlignment="1">
      <alignment horizontal="justify" vertical="justify" wrapText="1"/>
    </xf>
    <xf numFmtId="3" fontId="26" fillId="26" borderId="16" xfId="0" applyNumberFormat="1" applyFont="1" applyFill="1" applyBorder="1" applyAlignment="1">
      <alignment vertical="justify"/>
    </xf>
    <xf numFmtId="3" fontId="35" fillId="26" borderId="16" xfId="95" applyNumberFormat="1" applyFont="1" applyFill="1" applyBorder="1">
      <alignment vertical="top"/>
      <protection/>
    </xf>
    <xf numFmtId="0" fontId="26" fillId="26" borderId="0" xfId="0" applyFont="1" applyFill="1" applyBorder="1" applyAlignment="1">
      <alignment horizontal="center" vertical="center" wrapText="1"/>
    </xf>
    <xf numFmtId="0" fontId="27" fillId="26" borderId="0" xfId="0" applyFont="1" applyFill="1" applyBorder="1" applyAlignment="1">
      <alignment horizontal="center" vertical="center" wrapText="1"/>
    </xf>
    <xf numFmtId="49" fontId="27" fillId="26" borderId="0" xfId="0" applyNumberFormat="1" applyFont="1" applyFill="1" applyBorder="1" applyAlignment="1">
      <alignment horizontal="center" vertical="center" wrapText="1"/>
    </xf>
    <xf numFmtId="0" fontId="26" fillId="26" borderId="0" xfId="0" applyFont="1" applyFill="1" applyBorder="1" applyAlignment="1">
      <alignment horizontal="justify" vertical="center" wrapText="1"/>
    </xf>
    <xf numFmtId="3" fontId="36" fillId="26" borderId="0" xfId="0" applyNumberFormat="1" applyFont="1" applyFill="1" applyBorder="1" applyAlignment="1">
      <alignment vertical="justify"/>
    </xf>
    <xf numFmtId="3" fontId="26" fillId="26" borderId="0" xfId="0" applyNumberFormat="1" applyFont="1" applyFill="1" applyBorder="1" applyAlignment="1">
      <alignment vertical="justify"/>
    </xf>
    <xf numFmtId="3" fontId="28" fillId="26" borderId="0" xfId="95" applyNumberFormat="1" applyFont="1" applyFill="1" applyBorder="1">
      <alignment vertical="top"/>
      <protection/>
    </xf>
    <xf numFmtId="3" fontId="0" fillId="26" borderId="16" xfId="95" applyNumberFormat="1" applyFont="1" applyFill="1" applyBorder="1">
      <alignment vertical="top"/>
      <protection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35" fillId="26" borderId="16" xfId="0" applyNumberFormat="1" applyFont="1" applyFill="1" applyBorder="1" applyAlignment="1" applyProtection="1">
      <alignment horizontal="center" vertical="center" wrapText="1"/>
      <protection/>
    </xf>
    <xf numFmtId="0" fontId="37" fillId="26" borderId="16" xfId="0" applyNumberFormat="1" applyFont="1" applyFill="1" applyBorder="1" applyAlignment="1" applyProtection="1">
      <alignment horizontal="center" vertical="center" wrapText="1"/>
      <protection/>
    </xf>
    <xf numFmtId="0" fontId="38" fillId="26" borderId="16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25" fillId="26" borderId="0" xfId="0" applyNumberFormat="1" applyFont="1" applyFill="1" applyBorder="1" applyAlignment="1" applyProtection="1">
      <alignment horizontal="left" vertical="center" wrapText="1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28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showGridLines="0" showZeros="0" tabSelected="1" view="pageBreakPreview" zoomScale="75" zoomScaleNormal="75" zoomScaleSheetLayoutView="75" zoomScalePageLayoutView="0" workbookViewId="0" topLeftCell="C1">
      <pane ySplit="3" topLeftCell="BM4" activePane="bottomLeft" state="frozen"/>
      <selection pane="topLeft" activeCell="B1" sqref="B1"/>
      <selection pane="bottomLeft" activeCell="N1" sqref="N1:R1"/>
    </sheetView>
  </sheetViews>
  <sheetFormatPr defaultColWidth="9.16015625" defaultRowHeight="12.75"/>
  <cols>
    <col min="1" max="1" width="3.83203125" style="4" hidden="1" customWidth="1"/>
    <col min="2" max="2" width="14.66015625" style="9" customWidth="1"/>
    <col min="3" max="3" width="15.66015625" style="9" customWidth="1"/>
    <col min="4" max="4" width="18" style="9" customWidth="1"/>
    <col min="5" max="5" width="58.5" style="4" customWidth="1"/>
    <col min="6" max="6" width="16.83203125" style="4" customWidth="1"/>
    <col min="7" max="8" width="14.66015625" style="4" customWidth="1"/>
    <col min="9" max="9" width="13.66015625" style="4" customWidth="1"/>
    <col min="10" max="10" width="11.16015625" style="4" customWidth="1"/>
    <col min="11" max="12" width="14.83203125" style="4" customWidth="1"/>
    <col min="13" max="13" width="15.66015625" style="4" customWidth="1"/>
    <col min="14" max="14" width="14.5" style="4" customWidth="1"/>
    <col min="15" max="15" width="13" style="4" customWidth="1"/>
    <col min="16" max="16" width="14" style="4" customWidth="1"/>
    <col min="17" max="17" width="16.5" style="4" hidden="1" customWidth="1"/>
    <col min="18" max="18" width="16.83203125" style="4" customWidth="1"/>
    <col min="19" max="16384" width="9.16015625" style="3" customWidth="1"/>
  </cols>
  <sheetData>
    <row r="1" spans="1:19" ht="97.5" customHeight="1">
      <c r="A1" s="2"/>
      <c r="E1" s="2"/>
      <c r="F1" s="1"/>
      <c r="G1" s="1"/>
      <c r="H1" s="1"/>
      <c r="I1" s="1"/>
      <c r="J1" s="1"/>
      <c r="K1" s="1"/>
      <c r="L1" s="1"/>
      <c r="M1" s="1"/>
      <c r="N1" s="77" t="s">
        <v>157</v>
      </c>
      <c r="O1" s="77"/>
      <c r="P1" s="77"/>
      <c r="Q1" s="77"/>
      <c r="R1" s="77"/>
      <c r="S1" s="52"/>
    </row>
    <row r="2" spans="1:18" ht="41.25" customHeight="1">
      <c r="A2" s="2"/>
      <c r="B2" s="60">
        <v>20538000000</v>
      </c>
      <c r="C2" s="81" t="s">
        <v>137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2:18" ht="12.75" customHeight="1">
      <c r="B3" s="59" t="s">
        <v>80</v>
      </c>
      <c r="C3" s="10"/>
      <c r="D3" s="10"/>
      <c r="E3" s="5"/>
      <c r="F3" s="5"/>
      <c r="G3" s="5"/>
      <c r="H3" s="8"/>
      <c r="I3" s="5"/>
      <c r="J3" s="5"/>
      <c r="K3" s="6"/>
      <c r="L3" s="6"/>
      <c r="M3" s="7"/>
      <c r="N3" s="7"/>
      <c r="O3" s="7"/>
      <c r="P3" s="7"/>
      <c r="Q3" s="7"/>
      <c r="R3" s="53" t="s">
        <v>78</v>
      </c>
    </row>
    <row r="4" spans="1:18" s="12" customFormat="1" ht="26.25" customHeight="1">
      <c r="A4" s="13"/>
      <c r="B4" s="78" t="s">
        <v>72</v>
      </c>
      <c r="C4" s="78" t="s">
        <v>73</v>
      </c>
      <c r="D4" s="78" t="s">
        <v>66</v>
      </c>
      <c r="E4" s="78" t="s">
        <v>81</v>
      </c>
      <c r="F4" s="79" t="s">
        <v>11</v>
      </c>
      <c r="G4" s="79"/>
      <c r="H4" s="79"/>
      <c r="I4" s="79"/>
      <c r="J4" s="79"/>
      <c r="K4" s="79" t="s">
        <v>12</v>
      </c>
      <c r="L4" s="79"/>
      <c r="M4" s="79"/>
      <c r="N4" s="79"/>
      <c r="O4" s="79"/>
      <c r="P4" s="79"/>
      <c r="Q4" s="79"/>
      <c r="R4" s="79" t="s">
        <v>13</v>
      </c>
    </row>
    <row r="5" spans="1:18" s="12" customFormat="1" ht="42" customHeight="1">
      <c r="A5" s="14"/>
      <c r="B5" s="78"/>
      <c r="C5" s="78"/>
      <c r="D5" s="78"/>
      <c r="E5" s="78"/>
      <c r="F5" s="78" t="s">
        <v>70</v>
      </c>
      <c r="G5" s="80" t="s">
        <v>14</v>
      </c>
      <c r="H5" s="78" t="s">
        <v>15</v>
      </c>
      <c r="I5" s="78"/>
      <c r="J5" s="80" t="s">
        <v>16</v>
      </c>
      <c r="K5" s="78" t="s">
        <v>70</v>
      </c>
      <c r="L5" s="78" t="s">
        <v>71</v>
      </c>
      <c r="M5" s="80" t="s">
        <v>14</v>
      </c>
      <c r="N5" s="78" t="s">
        <v>15</v>
      </c>
      <c r="O5" s="78"/>
      <c r="P5" s="80" t="s">
        <v>16</v>
      </c>
      <c r="Q5" s="58" t="s">
        <v>15</v>
      </c>
      <c r="R5" s="79"/>
    </row>
    <row r="6" spans="1:18" s="12" customFormat="1" ht="48.75" customHeight="1">
      <c r="A6" s="15"/>
      <c r="B6" s="78"/>
      <c r="C6" s="78"/>
      <c r="D6" s="78"/>
      <c r="E6" s="78"/>
      <c r="F6" s="78"/>
      <c r="G6" s="80"/>
      <c r="H6" s="78" t="s">
        <v>17</v>
      </c>
      <c r="I6" s="78" t="s">
        <v>18</v>
      </c>
      <c r="J6" s="80"/>
      <c r="K6" s="78"/>
      <c r="L6" s="78"/>
      <c r="M6" s="80"/>
      <c r="N6" s="78" t="s">
        <v>17</v>
      </c>
      <c r="O6" s="78" t="s">
        <v>18</v>
      </c>
      <c r="P6" s="80"/>
      <c r="Q6" s="78" t="s">
        <v>22</v>
      </c>
      <c r="R6" s="79"/>
    </row>
    <row r="7" spans="1:18" s="12" customFormat="1" ht="12" customHeight="1">
      <c r="A7" s="16"/>
      <c r="B7" s="78"/>
      <c r="C7" s="78"/>
      <c r="D7" s="78"/>
      <c r="E7" s="78"/>
      <c r="F7" s="78"/>
      <c r="G7" s="80"/>
      <c r="H7" s="78"/>
      <c r="I7" s="78"/>
      <c r="J7" s="80"/>
      <c r="K7" s="78"/>
      <c r="L7" s="78"/>
      <c r="M7" s="80"/>
      <c r="N7" s="78"/>
      <c r="O7" s="78"/>
      <c r="P7" s="80"/>
      <c r="Q7" s="78"/>
      <c r="R7" s="79"/>
    </row>
    <row r="8" spans="1:18" s="20" customFormat="1" ht="17.25" customHeight="1">
      <c r="A8" s="17"/>
      <c r="B8" s="18" t="s">
        <v>21</v>
      </c>
      <c r="C8" s="18"/>
      <c r="D8" s="18"/>
      <c r="E8" s="30" t="s">
        <v>82</v>
      </c>
      <c r="F8" s="40">
        <f>F9</f>
        <v>64867781</v>
      </c>
      <c r="G8" s="40">
        <f>G9</f>
        <v>64867781</v>
      </c>
      <c r="H8" s="40">
        <f>H9</f>
        <v>27707080</v>
      </c>
      <c r="I8" s="68">
        <f>I9</f>
        <v>3272900</v>
      </c>
      <c r="J8" s="41"/>
      <c r="K8" s="41">
        <f>K9</f>
        <v>7663301</v>
      </c>
      <c r="L8" s="41">
        <f>L9</f>
        <v>2503301</v>
      </c>
      <c r="M8" s="41">
        <f aca="true" t="shared" si="0" ref="M8:R8">M9</f>
        <v>160000</v>
      </c>
      <c r="N8" s="41">
        <f t="shared" si="0"/>
        <v>0</v>
      </c>
      <c r="O8" s="41">
        <f t="shared" si="0"/>
        <v>0</v>
      </c>
      <c r="P8" s="41">
        <f t="shared" si="0"/>
        <v>7503301</v>
      </c>
      <c r="Q8" s="41" t="e">
        <f>Q9</f>
        <v>#REF!</v>
      </c>
      <c r="R8" s="40">
        <f t="shared" si="0"/>
        <v>72531082</v>
      </c>
    </row>
    <row r="9" spans="1:18" s="12" customFormat="1" ht="29.25" customHeight="1">
      <c r="A9" s="11"/>
      <c r="B9" s="18" t="s">
        <v>19</v>
      </c>
      <c r="C9" s="18"/>
      <c r="D9" s="18"/>
      <c r="E9" s="30" t="s">
        <v>83</v>
      </c>
      <c r="F9" s="40">
        <f>F10+F11+F12+F13+F17+F16+F22+F23+F15+F20+F21+F14</f>
        <v>64867781</v>
      </c>
      <c r="G9" s="40">
        <f>G10+G11+G12+G13+G17+G16+G22+G23+G15+G20+G21+G14</f>
        <v>64867781</v>
      </c>
      <c r="H9" s="40">
        <f>H10+H11+H12+H13+H17+H16+H22+H23+H15+H20+H21</f>
        <v>27707080</v>
      </c>
      <c r="I9" s="40">
        <f>I10+I11+I12+I13+I17+I16+I22+I23+I15+I20+I21</f>
        <v>3272900</v>
      </c>
      <c r="J9" s="40">
        <f>J10+J11+J12+J13+J17+J16+J22+J23</f>
        <v>0</v>
      </c>
      <c r="K9" s="40">
        <f>K10+K11+K12+K13+K17+K16+K22+K23+K24+K18+K19+K15</f>
        <v>7663301</v>
      </c>
      <c r="L9" s="40">
        <f>L10+L11+L12+L13+L17+L16+L22+L18+L15+L19</f>
        <v>2503301</v>
      </c>
      <c r="M9" s="40">
        <f>M10+M11+M12+M13+M17+M16+M22+M23+M24</f>
        <v>160000</v>
      </c>
      <c r="N9" s="40">
        <f>N10+N11+N12+N13+N17+N16+N22+N23+N24</f>
        <v>0</v>
      </c>
      <c r="O9" s="40">
        <f>O10+O11+O12+O13+O17+O16+O22+O23+O24</f>
        <v>0</v>
      </c>
      <c r="P9" s="40">
        <f>P10+P11+P12+P13+P17+P16+P22+P23+P24+P15+P18+P19</f>
        <v>7503301</v>
      </c>
      <c r="Q9" s="40" t="e">
        <f>Q10+#REF!+#REF!+#REF!+#REF!+#REF!+#REF!</f>
        <v>#REF!</v>
      </c>
      <c r="R9" s="40">
        <f>SUM(F9,K9)</f>
        <v>72531082</v>
      </c>
    </row>
    <row r="10" spans="1:18" s="12" customFormat="1" ht="58.5" customHeight="1">
      <c r="A10" s="11"/>
      <c r="B10" s="18" t="s">
        <v>39</v>
      </c>
      <c r="C10" s="21" t="s">
        <v>40</v>
      </c>
      <c r="D10" s="21" t="s">
        <v>20</v>
      </c>
      <c r="E10" s="45" t="s">
        <v>8</v>
      </c>
      <c r="F10" s="42">
        <f>28693396+1517+9713</f>
        <v>28704626</v>
      </c>
      <c r="G10" s="42">
        <f>28693396+1517+9713</f>
        <v>28704626</v>
      </c>
      <c r="H10" s="46">
        <v>23274586</v>
      </c>
      <c r="I10" s="42">
        <v>1517</v>
      </c>
      <c r="J10" s="40"/>
      <c r="K10" s="40"/>
      <c r="L10" s="40"/>
      <c r="M10" s="40"/>
      <c r="N10" s="40"/>
      <c r="O10" s="40"/>
      <c r="P10" s="40"/>
      <c r="Q10" s="40"/>
      <c r="R10" s="40">
        <f>SUM(F10,K10)</f>
        <v>28704626</v>
      </c>
    </row>
    <row r="11" spans="1:18" s="12" customFormat="1" ht="30">
      <c r="A11" s="11"/>
      <c r="B11" s="18" t="s">
        <v>98</v>
      </c>
      <c r="C11" s="23">
        <v>2010</v>
      </c>
      <c r="D11" s="21" t="s">
        <v>24</v>
      </c>
      <c r="E11" s="31" t="s">
        <v>84</v>
      </c>
      <c r="F11" s="42">
        <f>6606256+105890+177964+99308+22728+1000000</f>
        <v>8012146</v>
      </c>
      <c r="G11" s="42">
        <f>6606256+105890+177964+99308+22728+1000000</f>
        <v>8012146</v>
      </c>
      <c r="H11" s="40"/>
      <c r="I11" s="40"/>
      <c r="J11" s="42"/>
      <c r="K11" s="42">
        <f>686600</f>
        <v>686600</v>
      </c>
      <c r="L11" s="42">
        <f>686600</f>
        <v>686600</v>
      </c>
      <c r="M11" s="40"/>
      <c r="N11" s="40"/>
      <c r="O11" s="40"/>
      <c r="P11" s="42">
        <f>686600</f>
        <v>686600</v>
      </c>
      <c r="Q11" s="40"/>
      <c r="R11" s="40">
        <f aca="true" t="shared" si="1" ref="R11:R47">SUM(F11,K11)</f>
        <v>8698746</v>
      </c>
    </row>
    <row r="12" spans="1:18" s="12" customFormat="1" ht="44.25" customHeight="1">
      <c r="A12" s="11"/>
      <c r="B12" s="18" t="s">
        <v>99</v>
      </c>
      <c r="C12" s="23">
        <v>2111</v>
      </c>
      <c r="D12" s="21" t="s">
        <v>61</v>
      </c>
      <c r="E12" s="49" t="s">
        <v>69</v>
      </c>
      <c r="F12" s="42">
        <f>3361585+2556921+10000+10000+20000+5000+3000</f>
        <v>5966506</v>
      </c>
      <c r="G12" s="42">
        <f>3361585+2556921+10000+10000+20000+5000+3000</f>
        <v>5966506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>
        <f t="shared" si="1"/>
        <v>5966506</v>
      </c>
    </row>
    <row r="13" spans="1:18" s="12" customFormat="1" ht="25.5" customHeight="1">
      <c r="A13" s="11"/>
      <c r="B13" s="18" t="s">
        <v>100</v>
      </c>
      <c r="C13" s="23">
        <v>2145</v>
      </c>
      <c r="D13" s="21" t="s">
        <v>33</v>
      </c>
      <c r="E13" s="31" t="s">
        <v>74</v>
      </c>
      <c r="F13" s="42">
        <f>24000+13800+50000+50000</f>
        <v>137800</v>
      </c>
      <c r="G13" s="42">
        <f>24000+13800+50000+50000</f>
        <v>137800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0">
        <f t="shared" si="1"/>
        <v>137800</v>
      </c>
    </row>
    <row r="14" spans="1:18" s="12" customFormat="1" ht="29.25" customHeight="1">
      <c r="A14" s="11"/>
      <c r="B14" s="18" t="s">
        <v>152</v>
      </c>
      <c r="C14" s="23">
        <v>6012</v>
      </c>
      <c r="D14" s="21" t="s">
        <v>4</v>
      </c>
      <c r="E14" s="31" t="s">
        <v>153</v>
      </c>
      <c r="F14" s="42">
        <v>1000000</v>
      </c>
      <c r="G14" s="42">
        <v>1000000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0">
        <f t="shared" si="1"/>
        <v>1000000</v>
      </c>
    </row>
    <row r="15" spans="1:18" s="12" customFormat="1" ht="45">
      <c r="A15" s="11"/>
      <c r="B15" s="18" t="s">
        <v>132</v>
      </c>
      <c r="C15" s="23">
        <v>6020</v>
      </c>
      <c r="D15" s="21" t="s">
        <v>4</v>
      </c>
      <c r="E15" s="31" t="s">
        <v>133</v>
      </c>
      <c r="F15" s="42">
        <f>8998812-3573815+21000+280000+49000+563000+470000+50000+393800+248000+104000</f>
        <v>7603797</v>
      </c>
      <c r="G15" s="42">
        <f>8998812-3573815+21000+280000+49000+563000+470000+50000+393800+248000+104000</f>
        <v>7603797</v>
      </c>
      <c r="H15" s="42"/>
      <c r="I15" s="42"/>
      <c r="J15" s="42"/>
      <c r="K15" s="42">
        <f>47200+19800+1529541-1529541</f>
        <v>67000</v>
      </c>
      <c r="L15" s="42">
        <f>47200+19800+1529541-1529541</f>
        <v>67000</v>
      </c>
      <c r="M15" s="42"/>
      <c r="N15" s="42"/>
      <c r="O15" s="42"/>
      <c r="P15" s="42">
        <f>47200+19800+1529541-1529541</f>
        <v>67000</v>
      </c>
      <c r="Q15" s="42"/>
      <c r="R15" s="40">
        <f t="shared" si="1"/>
        <v>7670797</v>
      </c>
    </row>
    <row r="16" spans="1:18" s="12" customFormat="1" ht="17.25" customHeight="1">
      <c r="A16" s="11"/>
      <c r="B16" s="18" t="s">
        <v>101</v>
      </c>
      <c r="C16" s="23">
        <v>6030</v>
      </c>
      <c r="D16" s="21" t="s">
        <v>4</v>
      </c>
      <c r="E16" s="33" t="s">
        <v>103</v>
      </c>
      <c r="F16" s="46">
        <f>95000+50336+9000+15000+90882+61416+54919</f>
        <v>376553</v>
      </c>
      <c r="G16" s="46">
        <f>95000+50336+9000+15000+90882+61416+54919</f>
        <v>376553</v>
      </c>
      <c r="H16" s="42"/>
      <c r="I16" s="42">
        <f>50000+15000+90882</f>
        <v>155882</v>
      </c>
      <c r="J16" s="42"/>
      <c r="K16" s="42"/>
      <c r="L16" s="42"/>
      <c r="M16" s="42"/>
      <c r="N16" s="42"/>
      <c r="O16" s="42"/>
      <c r="P16" s="42"/>
      <c r="Q16" s="42"/>
      <c r="R16" s="40">
        <f t="shared" si="1"/>
        <v>376553</v>
      </c>
    </row>
    <row r="17" spans="1:18" s="12" customFormat="1" ht="31.5" customHeight="1">
      <c r="A17" s="11"/>
      <c r="B17" s="18" t="s">
        <v>102</v>
      </c>
      <c r="C17" s="23">
        <v>6090</v>
      </c>
      <c r="D17" s="21" t="s">
        <v>64</v>
      </c>
      <c r="E17" s="28" t="s">
        <v>63</v>
      </c>
      <c r="F17" s="42">
        <f>9706995+32374+58004+26837</f>
        <v>9824210</v>
      </c>
      <c r="G17" s="42">
        <f>9706995+32374+58004+26837</f>
        <v>9824210</v>
      </c>
      <c r="H17" s="42">
        <v>4432494</v>
      </c>
      <c r="I17" s="46">
        <f>3030660+58004+26837</f>
        <v>3115501</v>
      </c>
      <c r="J17" s="42"/>
      <c r="K17" s="40"/>
      <c r="L17" s="40"/>
      <c r="M17" s="40"/>
      <c r="N17" s="40"/>
      <c r="O17" s="40"/>
      <c r="P17" s="40"/>
      <c r="Q17" s="40"/>
      <c r="R17" s="40">
        <f t="shared" si="1"/>
        <v>9824210</v>
      </c>
    </row>
    <row r="18" spans="1:18" s="12" customFormat="1" ht="18.75" customHeight="1">
      <c r="A18" s="11"/>
      <c r="B18" s="18" t="s">
        <v>142</v>
      </c>
      <c r="C18" s="23">
        <v>7322</v>
      </c>
      <c r="D18" s="21" t="s">
        <v>146</v>
      </c>
      <c r="E18" s="51" t="s">
        <v>147</v>
      </c>
      <c r="F18" s="42"/>
      <c r="G18" s="42"/>
      <c r="H18" s="42"/>
      <c r="I18" s="46"/>
      <c r="J18" s="42"/>
      <c r="K18" s="42">
        <f>750885+765311-750885</f>
        <v>765311</v>
      </c>
      <c r="L18" s="42">
        <f>750885+765311-750885</f>
        <v>765311</v>
      </c>
      <c r="M18" s="42"/>
      <c r="N18" s="42"/>
      <c r="O18" s="42"/>
      <c r="P18" s="42">
        <f>750885+765311-750885</f>
        <v>765311</v>
      </c>
      <c r="Q18" s="40"/>
      <c r="R18" s="40">
        <f t="shared" si="1"/>
        <v>765311</v>
      </c>
    </row>
    <row r="19" spans="1:18" s="12" customFormat="1" ht="25.5" customHeight="1">
      <c r="A19" s="11"/>
      <c r="B19" s="18" t="s">
        <v>143</v>
      </c>
      <c r="C19" s="23">
        <v>7330</v>
      </c>
      <c r="D19" s="21" t="s">
        <v>146</v>
      </c>
      <c r="E19" s="51" t="s">
        <v>148</v>
      </c>
      <c r="F19" s="42"/>
      <c r="G19" s="42"/>
      <c r="H19" s="42"/>
      <c r="I19" s="46"/>
      <c r="J19" s="42"/>
      <c r="K19" s="42">
        <v>984390</v>
      </c>
      <c r="L19" s="42">
        <v>984390</v>
      </c>
      <c r="M19" s="42"/>
      <c r="N19" s="42"/>
      <c r="O19" s="42"/>
      <c r="P19" s="42">
        <v>984390</v>
      </c>
      <c r="Q19" s="40"/>
      <c r="R19" s="40">
        <f t="shared" si="1"/>
        <v>984390</v>
      </c>
    </row>
    <row r="20" spans="1:18" s="12" customFormat="1" ht="30.75" customHeight="1">
      <c r="A20" s="11"/>
      <c r="B20" s="18" t="s">
        <v>134</v>
      </c>
      <c r="C20" s="23">
        <v>7370</v>
      </c>
      <c r="D20" s="21" t="s">
        <v>2</v>
      </c>
      <c r="E20" s="28" t="s">
        <v>135</v>
      </c>
      <c r="F20" s="42">
        <f>746253+466473+77406+3500+49900+49905+26000+3500+5500+6800+1280+5085</f>
        <v>1441602</v>
      </c>
      <c r="G20" s="42">
        <f>746253+466473+77406+3500+49900+49905+26000+3500+5500+6800+1280+5085</f>
        <v>1441602</v>
      </c>
      <c r="H20" s="42"/>
      <c r="I20" s="46"/>
      <c r="J20" s="42"/>
      <c r="K20" s="40"/>
      <c r="L20" s="40"/>
      <c r="M20" s="40"/>
      <c r="N20" s="40"/>
      <c r="O20" s="40"/>
      <c r="P20" s="40"/>
      <c r="Q20" s="40"/>
      <c r="R20" s="40">
        <f t="shared" si="1"/>
        <v>1441602</v>
      </c>
    </row>
    <row r="21" spans="1:18" s="12" customFormat="1" ht="30.75" customHeight="1">
      <c r="A21" s="11"/>
      <c r="B21" s="18" t="s">
        <v>141</v>
      </c>
      <c r="C21" s="23">
        <v>7413</v>
      </c>
      <c r="D21" s="21" t="s">
        <v>149</v>
      </c>
      <c r="E21" s="51" t="s">
        <v>150</v>
      </c>
      <c r="F21" s="42">
        <v>100000</v>
      </c>
      <c r="G21" s="42">
        <v>100000</v>
      </c>
      <c r="H21" s="42"/>
      <c r="I21" s="46"/>
      <c r="J21" s="42"/>
      <c r="K21" s="40"/>
      <c r="L21" s="40"/>
      <c r="M21" s="40"/>
      <c r="N21" s="40"/>
      <c r="O21" s="40"/>
      <c r="P21" s="40"/>
      <c r="Q21" s="40"/>
      <c r="R21" s="40">
        <f t="shared" si="1"/>
        <v>100000</v>
      </c>
    </row>
    <row r="22" spans="1:18" s="12" customFormat="1" ht="43.5" customHeight="1">
      <c r="A22" s="11"/>
      <c r="B22" s="18" t="s">
        <v>131</v>
      </c>
      <c r="C22" s="23">
        <v>7461</v>
      </c>
      <c r="D22" s="21" t="s">
        <v>9</v>
      </c>
      <c r="E22" s="34" t="s">
        <v>104</v>
      </c>
      <c r="F22" s="42">
        <f>36000+50000+1529541</f>
        <v>1615541</v>
      </c>
      <c r="G22" s="42">
        <f>36000+50000+1529541</f>
        <v>1615541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0">
        <f t="shared" si="1"/>
        <v>1615541</v>
      </c>
    </row>
    <row r="23" spans="1:18" s="12" customFormat="1" ht="27.75" customHeight="1">
      <c r="A23" s="11"/>
      <c r="B23" s="18" t="s">
        <v>65</v>
      </c>
      <c r="C23" s="23">
        <v>7680</v>
      </c>
      <c r="D23" s="21" t="s">
        <v>2</v>
      </c>
      <c r="E23" s="34" t="s">
        <v>105</v>
      </c>
      <c r="F23" s="42">
        <v>85000</v>
      </c>
      <c r="G23" s="42">
        <v>85000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0">
        <f t="shared" si="1"/>
        <v>85000</v>
      </c>
    </row>
    <row r="24" spans="1:18" s="12" customFormat="1" ht="32.25" customHeight="1">
      <c r="A24" s="11"/>
      <c r="B24" s="18" t="s">
        <v>109</v>
      </c>
      <c r="C24" s="55">
        <v>8311</v>
      </c>
      <c r="D24" s="25" t="s">
        <v>110</v>
      </c>
      <c r="E24" s="31" t="s">
        <v>111</v>
      </c>
      <c r="F24" s="40"/>
      <c r="G24" s="40"/>
      <c r="H24" s="42"/>
      <c r="I24" s="42"/>
      <c r="J24" s="42"/>
      <c r="K24" s="42">
        <f>160000+5000000</f>
        <v>5160000</v>
      </c>
      <c r="L24" s="42"/>
      <c r="M24" s="42">
        <f>160000</f>
        <v>160000</v>
      </c>
      <c r="N24" s="40"/>
      <c r="O24" s="40"/>
      <c r="P24" s="40">
        <v>5000000</v>
      </c>
      <c r="Q24" s="40"/>
      <c r="R24" s="40">
        <f t="shared" si="1"/>
        <v>5160000</v>
      </c>
    </row>
    <row r="25" spans="1:18" s="12" customFormat="1" ht="30">
      <c r="A25" s="11"/>
      <c r="B25" s="18" t="s">
        <v>44</v>
      </c>
      <c r="C25" s="23"/>
      <c r="D25" s="21"/>
      <c r="E25" s="35" t="s">
        <v>85</v>
      </c>
      <c r="F25" s="40">
        <f>F26</f>
        <v>211211798</v>
      </c>
      <c r="G25" s="40">
        <f>G26</f>
        <v>211211798</v>
      </c>
      <c r="H25" s="40">
        <f>H26</f>
        <v>143176774</v>
      </c>
      <c r="I25" s="40">
        <f>I26</f>
        <v>20850714</v>
      </c>
      <c r="J25" s="42"/>
      <c r="K25" s="40">
        <f aca="true" t="shared" si="2" ref="K25:Q25">K26</f>
        <v>6539438</v>
      </c>
      <c r="L25" s="40">
        <f t="shared" si="2"/>
        <v>409970</v>
      </c>
      <c r="M25" s="40">
        <f t="shared" si="2"/>
        <v>6129468</v>
      </c>
      <c r="N25" s="40">
        <f t="shared" si="2"/>
        <v>998850</v>
      </c>
      <c r="O25" s="40">
        <f t="shared" si="2"/>
        <v>171103</v>
      </c>
      <c r="P25" s="40">
        <f t="shared" si="2"/>
        <v>409970</v>
      </c>
      <c r="Q25" s="40">
        <f t="shared" si="2"/>
        <v>0</v>
      </c>
      <c r="R25" s="40">
        <f t="shared" si="1"/>
        <v>217751236</v>
      </c>
    </row>
    <row r="26" spans="1:18" s="12" customFormat="1" ht="29.25">
      <c r="A26" s="11"/>
      <c r="B26" s="18" t="s">
        <v>45</v>
      </c>
      <c r="C26" s="23"/>
      <c r="D26" s="21"/>
      <c r="E26" s="35" t="s">
        <v>86</v>
      </c>
      <c r="F26" s="40">
        <f>F32+F34+F35+F36+F42+F37+F30+F29+F31+F38+F39+F40+F41</f>
        <v>211211798</v>
      </c>
      <c r="G26" s="40">
        <f>G32+G34+G35+G36+G42+G37+G30+G29+G31+G38+G39+G40+G41</f>
        <v>211211798</v>
      </c>
      <c r="H26" s="40">
        <f>H32+H34+H35+H36+H42+H37+H30+H29+H31+H38+H39+H40+H41</f>
        <v>143176774</v>
      </c>
      <c r="I26" s="40">
        <f>I32+I34+I35+I36+I42+I37+I30+I29+I31+I38+I39+I40+I41</f>
        <v>20850714</v>
      </c>
      <c r="J26" s="40">
        <f>J32+J34+J35+J36+J42+J37+J30+J29+J31+J38+J39+J40</f>
        <v>0</v>
      </c>
      <c r="K26" s="40">
        <f aca="true" t="shared" si="3" ref="K26:Q26">K32+K34+K35+K36+K42+K37+K30+K29+K31+K38+K39+K40+K43</f>
        <v>6539438</v>
      </c>
      <c r="L26" s="40">
        <f t="shared" si="3"/>
        <v>409970</v>
      </c>
      <c r="M26" s="40">
        <f t="shared" si="3"/>
        <v>6129468</v>
      </c>
      <c r="N26" s="40">
        <f t="shared" si="3"/>
        <v>998850</v>
      </c>
      <c r="O26" s="40">
        <f t="shared" si="3"/>
        <v>171103</v>
      </c>
      <c r="P26" s="40">
        <f t="shared" si="3"/>
        <v>409970</v>
      </c>
      <c r="Q26" s="40">
        <f t="shared" si="3"/>
        <v>0</v>
      </c>
      <c r="R26" s="40">
        <f t="shared" si="1"/>
        <v>217751236</v>
      </c>
    </row>
    <row r="27" spans="1:18" s="12" customFormat="1" ht="75.75" customHeight="1" hidden="1">
      <c r="A27" s="11"/>
      <c r="B27" s="22"/>
      <c r="C27" s="22"/>
      <c r="D27" s="18"/>
      <c r="E27" s="61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0"/>
    </row>
    <row r="28" spans="1:18" s="12" customFormat="1" ht="15" hidden="1">
      <c r="A28" s="11"/>
      <c r="B28" s="22"/>
      <c r="C28" s="22"/>
      <c r="D28" s="18"/>
      <c r="E28" s="57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0"/>
      <c r="R28" s="40"/>
    </row>
    <row r="29" spans="1:18" s="12" customFormat="1" ht="48" customHeight="1">
      <c r="A29" s="11"/>
      <c r="B29" s="18" t="s">
        <v>89</v>
      </c>
      <c r="C29" s="21" t="s">
        <v>91</v>
      </c>
      <c r="D29" s="21" t="s">
        <v>20</v>
      </c>
      <c r="E29" s="51" t="s">
        <v>92</v>
      </c>
      <c r="F29" s="42">
        <v>1091602</v>
      </c>
      <c r="G29" s="42">
        <v>1091602</v>
      </c>
      <c r="H29" s="46">
        <v>891015</v>
      </c>
      <c r="I29" s="42">
        <v>40968</v>
      </c>
      <c r="J29" s="42"/>
      <c r="K29" s="42"/>
      <c r="L29" s="42"/>
      <c r="M29" s="40"/>
      <c r="N29" s="40"/>
      <c r="O29" s="40"/>
      <c r="P29" s="40"/>
      <c r="Q29" s="40"/>
      <c r="R29" s="40">
        <f t="shared" si="1"/>
        <v>1091602</v>
      </c>
    </row>
    <row r="30" spans="1:18" s="12" customFormat="1" ht="15">
      <c r="A30" s="11"/>
      <c r="B30" s="18" t="s">
        <v>88</v>
      </c>
      <c r="C30" s="23">
        <v>1010</v>
      </c>
      <c r="D30" s="21" t="s">
        <v>90</v>
      </c>
      <c r="E30" s="51" t="s">
        <v>93</v>
      </c>
      <c r="F30" s="42">
        <v>36221485</v>
      </c>
      <c r="G30" s="42">
        <v>36221485</v>
      </c>
      <c r="H30" s="42">
        <f>22836165</f>
        <v>22836165</v>
      </c>
      <c r="I30" s="42">
        <v>4434363</v>
      </c>
      <c r="J30" s="42"/>
      <c r="K30" s="42">
        <v>2102108</v>
      </c>
      <c r="L30" s="42"/>
      <c r="M30" s="42">
        <v>2102108</v>
      </c>
      <c r="N30" s="40"/>
      <c r="O30" s="40"/>
      <c r="P30" s="40"/>
      <c r="Q30" s="40"/>
      <c r="R30" s="40">
        <f t="shared" si="1"/>
        <v>38323593</v>
      </c>
    </row>
    <row r="31" spans="1:18" s="12" customFormat="1" ht="28.5" customHeight="1">
      <c r="A31" s="11"/>
      <c r="B31" s="18" t="s">
        <v>112</v>
      </c>
      <c r="C31" s="23">
        <v>1021</v>
      </c>
      <c r="D31" s="21" t="s">
        <v>34</v>
      </c>
      <c r="E31" s="51" t="s">
        <v>115</v>
      </c>
      <c r="F31" s="42">
        <f>55602611+1547000+1003753+185325+2710900-900000-54919</f>
        <v>60094670</v>
      </c>
      <c r="G31" s="42">
        <f>55602611+1547000+1003753+185325+2710900-900000-54919</f>
        <v>60094670</v>
      </c>
      <c r="H31" s="42">
        <f>28498501+403439</f>
        <v>28901940</v>
      </c>
      <c r="I31" s="42">
        <f>10519803+1547000+151995+2710900</f>
        <v>14929698</v>
      </c>
      <c r="J31" s="42"/>
      <c r="K31" s="42">
        <f>663160+300000+27040+10780+12150</f>
        <v>1013130</v>
      </c>
      <c r="L31" s="42">
        <f>300000+27040+10780+12150</f>
        <v>349970</v>
      </c>
      <c r="M31" s="42">
        <v>663160</v>
      </c>
      <c r="N31" s="40"/>
      <c r="O31" s="40"/>
      <c r="P31" s="42">
        <f>300000+27040+10780+12150</f>
        <v>349970</v>
      </c>
      <c r="Q31" s="40"/>
      <c r="R31" s="40">
        <f t="shared" si="1"/>
        <v>61107800</v>
      </c>
    </row>
    <row r="32" spans="1:18" s="12" customFormat="1" ht="27" customHeight="1">
      <c r="A32" s="11"/>
      <c r="B32" s="18" t="s">
        <v>113</v>
      </c>
      <c r="C32" s="23">
        <v>1031</v>
      </c>
      <c r="D32" s="21" t="s">
        <v>114</v>
      </c>
      <c r="E32" s="37" t="s">
        <v>116</v>
      </c>
      <c r="F32" s="42">
        <f>102463100-10246200</f>
        <v>92216900</v>
      </c>
      <c r="G32" s="42">
        <f>102463100-10246200</f>
        <v>92216900</v>
      </c>
      <c r="H32" s="42">
        <f>84048150-8404900</f>
        <v>75643250</v>
      </c>
      <c r="I32" s="42"/>
      <c r="J32" s="42"/>
      <c r="K32" s="42"/>
      <c r="L32" s="42"/>
      <c r="M32" s="42"/>
      <c r="N32" s="42"/>
      <c r="O32" s="42"/>
      <c r="P32" s="42"/>
      <c r="Q32" s="40"/>
      <c r="R32" s="40">
        <f t="shared" si="1"/>
        <v>92216900</v>
      </c>
    </row>
    <row r="33" spans="1:18" s="12" customFormat="1" ht="15">
      <c r="A33" s="11"/>
      <c r="B33" s="23"/>
      <c r="C33" s="23"/>
      <c r="D33" s="21"/>
      <c r="E33" s="36" t="s">
        <v>136</v>
      </c>
      <c r="F33" s="42">
        <f>102463100-10246200</f>
        <v>92216900</v>
      </c>
      <c r="G33" s="42">
        <f>102463100-10246200</f>
        <v>92216900</v>
      </c>
      <c r="H33" s="42">
        <f>84048150-8404900</f>
        <v>75643250</v>
      </c>
      <c r="I33" s="42"/>
      <c r="J33" s="42"/>
      <c r="K33" s="42"/>
      <c r="L33" s="42"/>
      <c r="M33" s="42"/>
      <c r="N33" s="42"/>
      <c r="O33" s="42"/>
      <c r="P33" s="42"/>
      <c r="Q33" s="42"/>
      <c r="R33" s="40">
        <f t="shared" si="1"/>
        <v>92216900</v>
      </c>
    </row>
    <row r="34" spans="1:18" s="12" customFormat="1" ht="45">
      <c r="A34" s="11"/>
      <c r="B34" s="18" t="s">
        <v>117</v>
      </c>
      <c r="C34" s="23">
        <v>1070</v>
      </c>
      <c r="D34" s="21" t="s">
        <v>35</v>
      </c>
      <c r="E34" s="34" t="s">
        <v>79</v>
      </c>
      <c r="F34" s="42">
        <v>4545659</v>
      </c>
      <c r="G34" s="42">
        <v>4545659</v>
      </c>
      <c r="H34" s="42">
        <v>3210320</v>
      </c>
      <c r="I34" s="42">
        <v>548170</v>
      </c>
      <c r="J34" s="42"/>
      <c r="K34" s="42">
        <v>3364200</v>
      </c>
      <c r="L34" s="42"/>
      <c r="M34" s="42">
        <v>3364200</v>
      </c>
      <c r="N34" s="42">
        <v>998850</v>
      </c>
      <c r="O34" s="42">
        <v>171103</v>
      </c>
      <c r="P34" s="42"/>
      <c r="Q34" s="40"/>
      <c r="R34" s="40">
        <f t="shared" si="1"/>
        <v>7909859</v>
      </c>
    </row>
    <row r="35" spans="1:18" s="12" customFormat="1" ht="30">
      <c r="A35" s="11"/>
      <c r="B35" s="18" t="s">
        <v>124</v>
      </c>
      <c r="C35" s="23">
        <v>1141</v>
      </c>
      <c r="D35" s="21" t="s">
        <v>36</v>
      </c>
      <c r="E35" s="51" t="s">
        <v>67</v>
      </c>
      <c r="F35" s="42">
        <f>6920840+63000</f>
        <v>6983840</v>
      </c>
      <c r="G35" s="42">
        <f>6920840+63000</f>
        <v>6983840</v>
      </c>
      <c r="H35" s="42">
        <v>4974528</v>
      </c>
      <c r="I35" s="42">
        <v>315003</v>
      </c>
      <c r="J35" s="42"/>
      <c r="K35" s="42">
        <v>46000</v>
      </c>
      <c r="L35" s="42">
        <v>46000</v>
      </c>
      <c r="M35" s="42"/>
      <c r="N35" s="42"/>
      <c r="O35" s="42"/>
      <c r="P35" s="42">
        <v>46000</v>
      </c>
      <c r="Q35" s="42"/>
      <c r="R35" s="40">
        <f t="shared" si="1"/>
        <v>7029840</v>
      </c>
    </row>
    <row r="36" spans="1:18" s="12" customFormat="1" ht="15">
      <c r="A36" s="11"/>
      <c r="B36" s="18" t="s">
        <v>125</v>
      </c>
      <c r="C36" s="23">
        <v>1142</v>
      </c>
      <c r="D36" s="21" t="s">
        <v>36</v>
      </c>
      <c r="E36" s="51" t="s">
        <v>68</v>
      </c>
      <c r="F36" s="42">
        <v>10860</v>
      </c>
      <c r="G36" s="42">
        <v>10860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0">
        <f t="shared" si="1"/>
        <v>10860</v>
      </c>
    </row>
    <row r="37" spans="1:18" s="12" customFormat="1" ht="31.5" customHeight="1">
      <c r="A37" s="11"/>
      <c r="B37" s="18" t="s">
        <v>120</v>
      </c>
      <c r="C37" s="23">
        <v>1151</v>
      </c>
      <c r="D37" s="21" t="s">
        <v>36</v>
      </c>
      <c r="E37" s="51" t="s">
        <v>121</v>
      </c>
      <c r="F37" s="42">
        <f>110742+114522</f>
        <v>225264</v>
      </c>
      <c r="G37" s="42">
        <f>110742+114522</f>
        <v>225264</v>
      </c>
      <c r="H37" s="42">
        <f>44451+34149</f>
        <v>78600</v>
      </c>
      <c r="I37" s="42">
        <f>15400+39845</f>
        <v>55245</v>
      </c>
      <c r="J37" s="42"/>
      <c r="K37" s="40"/>
      <c r="L37" s="40"/>
      <c r="M37" s="42"/>
      <c r="N37" s="42"/>
      <c r="O37" s="42"/>
      <c r="P37" s="40"/>
      <c r="Q37" s="40"/>
      <c r="R37" s="40">
        <f t="shared" si="1"/>
        <v>225264</v>
      </c>
    </row>
    <row r="38" spans="1:18" s="12" customFormat="1" ht="34.5" customHeight="1">
      <c r="A38" s="11"/>
      <c r="B38" s="18" t="s">
        <v>118</v>
      </c>
      <c r="C38" s="23">
        <v>1152</v>
      </c>
      <c r="D38" s="21" t="s">
        <v>36</v>
      </c>
      <c r="E38" s="51" t="s">
        <v>119</v>
      </c>
      <c r="F38" s="42">
        <v>1661916</v>
      </c>
      <c r="G38" s="42">
        <v>1661916</v>
      </c>
      <c r="H38" s="42">
        <v>1362226</v>
      </c>
      <c r="I38" s="40"/>
      <c r="J38" s="42"/>
      <c r="K38" s="40"/>
      <c r="L38" s="40"/>
      <c r="M38" s="40"/>
      <c r="N38" s="40"/>
      <c r="O38" s="40"/>
      <c r="P38" s="40"/>
      <c r="Q38" s="40"/>
      <c r="R38" s="40">
        <f t="shared" si="1"/>
        <v>1661916</v>
      </c>
    </row>
    <row r="39" spans="1:18" s="12" customFormat="1" ht="30.75" customHeight="1">
      <c r="A39" s="11"/>
      <c r="B39" s="18" t="s">
        <v>122</v>
      </c>
      <c r="C39" s="23">
        <v>1160</v>
      </c>
      <c r="D39" s="21" t="s">
        <v>36</v>
      </c>
      <c r="E39" s="51" t="s">
        <v>123</v>
      </c>
      <c r="F39" s="42">
        <v>1914488</v>
      </c>
      <c r="G39" s="42">
        <v>1914488</v>
      </c>
      <c r="H39" s="42">
        <v>1417516</v>
      </c>
      <c r="I39" s="42">
        <v>123362</v>
      </c>
      <c r="J39" s="42"/>
      <c r="K39" s="40"/>
      <c r="L39" s="40"/>
      <c r="M39" s="40"/>
      <c r="N39" s="40"/>
      <c r="O39" s="40"/>
      <c r="P39" s="40"/>
      <c r="Q39" s="40"/>
      <c r="R39" s="40">
        <f t="shared" si="1"/>
        <v>1914488</v>
      </c>
    </row>
    <row r="40" spans="1:18" s="12" customFormat="1" ht="60" customHeight="1" hidden="1">
      <c r="A40" s="11"/>
      <c r="B40" s="18"/>
      <c r="C40" s="23"/>
      <c r="D40" s="21"/>
      <c r="E40" s="51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0"/>
      <c r="R40" s="40">
        <f t="shared" si="1"/>
        <v>0</v>
      </c>
    </row>
    <row r="41" spans="1:18" s="12" customFormat="1" ht="45" customHeight="1">
      <c r="A41" s="11"/>
      <c r="B41" s="18" t="s">
        <v>155</v>
      </c>
      <c r="C41" s="23">
        <v>3230</v>
      </c>
      <c r="D41" s="21" t="s">
        <v>38</v>
      </c>
      <c r="E41" s="51" t="s">
        <v>156</v>
      </c>
      <c r="F41" s="42">
        <v>900000</v>
      </c>
      <c r="G41" s="42">
        <v>900000</v>
      </c>
      <c r="H41" s="42"/>
      <c r="I41" s="42"/>
      <c r="J41" s="42"/>
      <c r="K41" s="42"/>
      <c r="L41" s="42"/>
      <c r="M41" s="42"/>
      <c r="N41" s="42"/>
      <c r="O41" s="42"/>
      <c r="P41" s="42"/>
      <c r="Q41" s="40"/>
      <c r="R41" s="40">
        <f t="shared" si="1"/>
        <v>900000</v>
      </c>
    </row>
    <row r="42" spans="1:18" s="12" customFormat="1" ht="30.75" customHeight="1">
      <c r="A42" s="11"/>
      <c r="B42" s="18" t="s">
        <v>46</v>
      </c>
      <c r="C42" s="23">
        <v>5031</v>
      </c>
      <c r="D42" s="21" t="s">
        <v>30</v>
      </c>
      <c r="E42" s="48" t="s">
        <v>37</v>
      </c>
      <c r="F42" s="42">
        <f>5285914+59200</f>
        <v>5345114</v>
      </c>
      <c r="G42" s="42">
        <f>5285914+59200</f>
        <v>5345114</v>
      </c>
      <c r="H42" s="42">
        <v>3861214</v>
      </c>
      <c r="I42" s="42">
        <v>403905</v>
      </c>
      <c r="J42" s="42"/>
      <c r="K42" s="42">
        <v>14000</v>
      </c>
      <c r="L42" s="42">
        <v>14000</v>
      </c>
      <c r="M42" s="42"/>
      <c r="N42" s="42"/>
      <c r="O42" s="42"/>
      <c r="P42" s="42">
        <v>14000</v>
      </c>
      <c r="Q42" s="42"/>
      <c r="R42" s="40">
        <f t="shared" si="1"/>
        <v>5359114</v>
      </c>
    </row>
    <row r="43" spans="1:18" s="12" customFormat="1" ht="28.5" customHeight="1" hidden="1">
      <c r="A43" s="11"/>
      <c r="B43" s="18" t="s">
        <v>140</v>
      </c>
      <c r="C43" s="23">
        <v>7368</v>
      </c>
      <c r="D43" s="21" t="s">
        <v>2</v>
      </c>
      <c r="E43" s="51" t="s">
        <v>139</v>
      </c>
      <c r="F43" s="42"/>
      <c r="G43" s="42"/>
      <c r="H43" s="42"/>
      <c r="I43" s="42"/>
      <c r="J43" s="42"/>
      <c r="K43" s="42">
        <f>2000000-2000000</f>
        <v>0</v>
      </c>
      <c r="L43" s="42">
        <f>2000000-2000000</f>
        <v>0</v>
      </c>
      <c r="M43" s="42"/>
      <c r="N43" s="42"/>
      <c r="O43" s="42"/>
      <c r="P43" s="42">
        <f>2000000-2000000</f>
        <v>0</v>
      </c>
      <c r="Q43" s="42"/>
      <c r="R43" s="40">
        <f t="shared" si="1"/>
        <v>0</v>
      </c>
    </row>
    <row r="44" spans="1:18" s="12" customFormat="1" ht="29.25">
      <c r="A44" s="11"/>
      <c r="B44" s="29" t="s">
        <v>47</v>
      </c>
      <c r="C44" s="23"/>
      <c r="D44" s="21"/>
      <c r="E44" s="38" t="s">
        <v>126</v>
      </c>
      <c r="F44" s="40">
        <f>F45</f>
        <v>25961172</v>
      </c>
      <c r="G44" s="40">
        <f>G45</f>
        <v>25961172</v>
      </c>
      <c r="H44" s="40">
        <f>H45</f>
        <v>15215749</v>
      </c>
      <c r="I44" s="40">
        <f>I45</f>
        <v>1285</v>
      </c>
      <c r="J44" s="40">
        <f>J45</f>
        <v>0</v>
      </c>
      <c r="K44" s="40">
        <f aca="true" t="shared" si="4" ref="K44:Q44">K45</f>
        <v>202730</v>
      </c>
      <c r="L44" s="40"/>
      <c r="M44" s="40">
        <f t="shared" si="4"/>
        <v>202730</v>
      </c>
      <c r="N44" s="40">
        <f t="shared" si="4"/>
        <v>74000</v>
      </c>
      <c r="O44" s="40">
        <f t="shared" si="4"/>
        <v>0</v>
      </c>
      <c r="P44" s="40">
        <f t="shared" si="4"/>
        <v>0</v>
      </c>
      <c r="Q44" s="40">
        <f t="shared" si="4"/>
        <v>0</v>
      </c>
      <c r="R44" s="40">
        <f t="shared" si="1"/>
        <v>26163902</v>
      </c>
    </row>
    <row r="45" spans="1:18" s="12" customFormat="1" ht="44.25" customHeight="1">
      <c r="A45" s="11"/>
      <c r="B45" s="29" t="s">
        <v>48</v>
      </c>
      <c r="C45" s="23"/>
      <c r="D45" s="21"/>
      <c r="E45" s="30" t="s">
        <v>87</v>
      </c>
      <c r="F45" s="40">
        <f aca="true" t="shared" si="5" ref="F45:Q45">F47+F48+F49+F50+F51+F55+F56+F46+F52+F54+F53</f>
        <v>25961172</v>
      </c>
      <c r="G45" s="40">
        <f t="shared" si="5"/>
        <v>25961172</v>
      </c>
      <c r="H45" s="40">
        <f t="shared" si="5"/>
        <v>15215749</v>
      </c>
      <c r="I45" s="40">
        <f t="shared" si="5"/>
        <v>1285</v>
      </c>
      <c r="J45" s="40">
        <f t="shared" si="5"/>
        <v>0</v>
      </c>
      <c r="K45" s="40">
        <f t="shared" si="5"/>
        <v>202730</v>
      </c>
      <c r="L45" s="40">
        <f t="shared" si="5"/>
        <v>0</v>
      </c>
      <c r="M45" s="40">
        <f t="shared" si="5"/>
        <v>202730</v>
      </c>
      <c r="N45" s="40">
        <f t="shared" si="5"/>
        <v>74000</v>
      </c>
      <c r="O45" s="40">
        <f t="shared" si="5"/>
        <v>0</v>
      </c>
      <c r="P45" s="40">
        <f t="shared" si="5"/>
        <v>0</v>
      </c>
      <c r="Q45" s="40">
        <f t="shared" si="5"/>
        <v>0</v>
      </c>
      <c r="R45" s="40">
        <f t="shared" si="1"/>
        <v>26163902</v>
      </c>
    </row>
    <row r="46" spans="1:18" s="12" customFormat="1" ht="47.25" customHeight="1">
      <c r="A46" s="11"/>
      <c r="B46" s="18" t="s">
        <v>94</v>
      </c>
      <c r="C46" s="21" t="s">
        <v>91</v>
      </c>
      <c r="D46" s="21" t="s">
        <v>20</v>
      </c>
      <c r="E46" s="51" t="s">
        <v>92</v>
      </c>
      <c r="F46" s="42">
        <v>6952313</v>
      </c>
      <c r="G46" s="42">
        <v>6952313</v>
      </c>
      <c r="H46" s="46">
        <v>5633043</v>
      </c>
      <c r="I46" s="42"/>
      <c r="J46" s="40"/>
      <c r="K46" s="40"/>
      <c r="L46" s="40"/>
      <c r="M46" s="40"/>
      <c r="N46" s="40"/>
      <c r="O46" s="40"/>
      <c r="P46" s="40"/>
      <c r="Q46" s="40"/>
      <c r="R46" s="40">
        <f t="shared" si="1"/>
        <v>6952313</v>
      </c>
    </row>
    <row r="47" spans="1:18" s="12" customFormat="1" ht="29.25" customHeight="1" hidden="1">
      <c r="A47" s="11"/>
      <c r="B47" s="18"/>
      <c r="C47" s="23"/>
      <c r="D47" s="21"/>
      <c r="E47" s="31"/>
      <c r="F47" s="42"/>
      <c r="G47" s="42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>
        <f t="shared" si="1"/>
        <v>0</v>
      </c>
    </row>
    <row r="48" spans="1:18" s="12" customFormat="1" ht="32.25" customHeight="1">
      <c r="A48" s="11"/>
      <c r="B48" s="18" t="s">
        <v>49</v>
      </c>
      <c r="C48" s="23">
        <v>3031</v>
      </c>
      <c r="D48" s="21" t="s">
        <v>29</v>
      </c>
      <c r="E48" s="50" t="s">
        <v>41</v>
      </c>
      <c r="F48" s="42">
        <v>8100</v>
      </c>
      <c r="G48" s="42">
        <v>8100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0">
        <f aca="true" t="shared" si="6" ref="R48:R77">SUM(F48,K48)</f>
        <v>8100</v>
      </c>
    </row>
    <row r="49" spans="1:18" s="12" customFormat="1" ht="30">
      <c r="A49" s="11"/>
      <c r="B49" s="18" t="s">
        <v>50</v>
      </c>
      <c r="C49" s="23">
        <v>3032</v>
      </c>
      <c r="D49" s="21" t="s">
        <v>38</v>
      </c>
      <c r="E49" s="28" t="s">
        <v>7</v>
      </c>
      <c r="F49" s="42">
        <v>80000</v>
      </c>
      <c r="G49" s="42">
        <v>80000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0">
        <f t="shared" si="6"/>
        <v>80000</v>
      </c>
    </row>
    <row r="50" spans="1:18" s="12" customFormat="1" ht="45">
      <c r="A50" s="11"/>
      <c r="B50" s="18" t="s">
        <v>52</v>
      </c>
      <c r="C50" s="23">
        <v>3033</v>
      </c>
      <c r="D50" s="21" t="s">
        <v>38</v>
      </c>
      <c r="E50" s="39" t="s">
        <v>53</v>
      </c>
      <c r="F50" s="42">
        <v>3500000</v>
      </c>
      <c r="G50" s="42">
        <v>3500000</v>
      </c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0">
        <f t="shared" si="6"/>
        <v>3500000</v>
      </c>
    </row>
    <row r="51" spans="1:18" s="12" customFormat="1" ht="31.5" customHeight="1">
      <c r="A51" s="11"/>
      <c r="B51" s="18" t="s">
        <v>51</v>
      </c>
      <c r="C51" s="23">
        <v>3035</v>
      </c>
      <c r="D51" s="21" t="s">
        <v>38</v>
      </c>
      <c r="E51" s="51" t="s">
        <v>6</v>
      </c>
      <c r="F51" s="42">
        <v>400000</v>
      </c>
      <c r="G51" s="42">
        <v>400000</v>
      </c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0">
        <f t="shared" si="6"/>
        <v>400000</v>
      </c>
    </row>
    <row r="52" spans="1:18" s="12" customFormat="1" ht="66" customHeight="1">
      <c r="A52" s="11"/>
      <c r="B52" s="18" t="s">
        <v>106</v>
      </c>
      <c r="C52" s="23">
        <v>3104</v>
      </c>
      <c r="D52" s="21" t="s">
        <v>28</v>
      </c>
      <c r="E52" s="47" t="s">
        <v>27</v>
      </c>
      <c r="F52" s="76">
        <f>11673873+83770+18430</f>
        <v>11776073</v>
      </c>
      <c r="G52" s="76">
        <f>11673873+83770+18430</f>
        <v>11776073</v>
      </c>
      <c r="H52" s="76">
        <f>9498936+83770</f>
        <v>9582706</v>
      </c>
      <c r="I52" s="76">
        <v>1285</v>
      </c>
      <c r="J52" s="42"/>
      <c r="K52" s="42">
        <v>202730</v>
      </c>
      <c r="L52" s="42"/>
      <c r="M52" s="42">
        <v>202730</v>
      </c>
      <c r="N52" s="42">
        <v>74000</v>
      </c>
      <c r="O52" s="42"/>
      <c r="P52" s="42"/>
      <c r="Q52" s="42"/>
      <c r="R52" s="40">
        <f t="shared" si="6"/>
        <v>11978803</v>
      </c>
    </row>
    <row r="53" spans="1:18" s="12" customFormat="1" ht="34.5" customHeight="1" hidden="1">
      <c r="A53" s="11"/>
      <c r="B53" s="18"/>
      <c r="C53" s="23"/>
      <c r="D53" s="21"/>
      <c r="E53" s="31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0">
        <f t="shared" si="6"/>
        <v>0</v>
      </c>
    </row>
    <row r="54" spans="1:18" s="12" customFormat="1" ht="62.25" customHeight="1">
      <c r="A54" s="11"/>
      <c r="B54" s="18" t="s">
        <v>107</v>
      </c>
      <c r="C54" s="23">
        <v>3140</v>
      </c>
      <c r="D54" s="21" t="s">
        <v>25</v>
      </c>
      <c r="E54" s="47" t="s">
        <v>26</v>
      </c>
      <c r="F54" s="42">
        <f>299040-150000</f>
        <v>149040</v>
      </c>
      <c r="G54" s="42">
        <f>299040-150000</f>
        <v>149040</v>
      </c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0">
        <f>SUM(F54,K54)</f>
        <v>149040</v>
      </c>
    </row>
    <row r="55" spans="1:18" s="12" customFormat="1" ht="80.25" customHeight="1">
      <c r="A55" s="11"/>
      <c r="B55" s="18" t="s">
        <v>54</v>
      </c>
      <c r="C55" s="23">
        <v>3160</v>
      </c>
      <c r="D55" s="21" t="s">
        <v>0</v>
      </c>
      <c r="E55" s="28" t="s">
        <v>55</v>
      </c>
      <c r="F55" s="42">
        <v>600000</v>
      </c>
      <c r="G55" s="42">
        <v>600000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0">
        <f t="shared" si="6"/>
        <v>600000</v>
      </c>
    </row>
    <row r="56" spans="1:18" s="12" customFormat="1" ht="30">
      <c r="A56" s="11"/>
      <c r="B56" s="18" t="s">
        <v>57</v>
      </c>
      <c r="C56" s="23">
        <v>3242</v>
      </c>
      <c r="D56" s="21" t="s">
        <v>1</v>
      </c>
      <c r="E56" s="51" t="s">
        <v>56</v>
      </c>
      <c r="F56" s="46">
        <f>1210000+1033344+35750+35100+31452+150000</f>
        <v>2495646</v>
      </c>
      <c r="G56" s="46">
        <f>1210000+1033344+35750+35100+31452+150000</f>
        <v>2495646</v>
      </c>
      <c r="H56" s="44"/>
      <c r="I56" s="42"/>
      <c r="J56" s="42"/>
      <c r="K56" s="42"/>
      <c r="L56" s="42"/>
      <c r="M56" s="42"/>
      <c r="N56" s="42"/>
      <c r="O56" s="42"/>
      <c r="P56" s="42"/>
      <c r="Q56" s="42"/>
      <c r="R56" s="40">
        <f t="shared" si="6"/>
        <v>2495646</v>
      </c>
    </row>
    <row r="57" spans="1:18" s="12" customFormat="1" ht="43.5">
      <c r="A57" s="11"/>
      <c r="B57" s="22">
        <v>1000000</v>
      </c>
      <c r="C57" s="23"/>
      <c r="D57" s="21"/>
      <c r="E57" s="24" t="s">
        <v>127</v>
      </c>
      <c r="F57" s="40">
        <f>F58</f>
        <v>28614060</v>
      </c>
      <c r="G57" s="40">
        <f>G58</f>
        <v>28614060</v>
      </c>
      <c r="H57" s="40">
        <f>H58</f>
        <v>18219726</v>
      </c>
      <c r="I57" s="40">
        <f>I58</f>
        <v>2907125</v>
      </c>
      <c r="J57" s="42"/>
      <c r="K57" s="40">
        <f aca="true" t="shared" si="7" ref="K57:Q57">K58</f>
        <v>441018</v>
      </c>
      <c r="L57" s="40">
        <f t="shared" si="7"/>
        <v>271580</v>
      </c>
      <c r="M57" s="40">
        <f t="shared" si="7"/>
        <v>169438</v>
      </c>
      <c r="N57" s="40">
        <f t="shared" si="7"/>
        <v>123600</v>
      </c>
      <c r="O57" s="40">
        <f t="shared" si="7"/>
        <v>0</v>
      </c>
      <c r="P57" s="40">
        <f t="shared" si="7"/>
        <v>271580</v>
      </c>
      <c r="Q57" s="40">
        <f t="shared" si="7"/>
        <v>0</v>
      </c>
      <c r="R57" s="40">
        <f t="shared" si="6"/>
        <v>29055078</v>
      </c>
    </row>
    <row r="58" spans="1:18" s="12" customFormat="1" ht="43.5">
      <c r="A58" s="11"/>
      <c r="B58" s="22">
        <v>1010000</v>
      </c>
      <c r="C58" s="23"/>
      <c r="D58" s="21"/>
      <c r="E58" s="24" t="s">
        <v>128</v>
      </c>
      <c r="F58" s="40">
        <f>F60+F62+F63+F64+F65+F66+F67+F68+F69+F70+F61+F59+F71</f>
        <v>28614060</v>
      </c>
      <c r="G58" s="40">
        <f>G60+G62+G63+G64+G65+G66+G67+G68+G69+G70+G61+G59+G71</f>
        <v>28614060</v>
      </c>
      <c r="H58" s="68">
        <f>H60+H62+H63+H64+H65+H66+H67+H68+H69+H70+H61+H59+H71</f>
        <v>18219726</v>
      </c>
      <c r="I58" s="40">
        <f>I60+I62+I63+I64+I65+I66+I67+I68+I69+I70+I61+I59+I71</f>
        <v>2907125</v>
      </c>
      <c r="J58" s="40">
        <f aca="true" t="shared" si="8" ref="J58:P58">J60+J62+J63+J64+J65+J66+J67+J68+J69+J70+J61+J59</f>
        <v>0</v>
      </c>
      <c r="K58" s="40">
        <f t="shared" si="8"/>
        <v>441018</v>
      </c>
      <c r="L58" s="40">
        <f t="shared" si="8"/>
        <v>271580</v>
      </c>
      <c r="M58" s="40">
        <f t="shared" si="8"/>
        <v>169438</v>
      </c>
      <c r="N58" s="40">
        <f t="shared" si="8"/>
        <v>123600</v>
      </c>
      <c r="O58" s="40">
        <f t="shared" si="8"/>
        <v>0</v>
      </c>
      <c r="P58" s="40">
        <f t="shared" si="8"/>
        <v>271580</v>
      </c>
      <c r="Q58" s="40">
        <f>SUM(Q60:Q64)</f>
        <v>0</v>
      </c>
      <c r="R58" s="40">
        <f t="shared" si="6"/>
        <v>29055078</v>
      </c>
    </row>
    <row r="59" spans="1:18" s="12" customFormat="1" ht="45">
      <c r="A59" s="11"/>
      <c r="B59" s="18" t="s">
        <v>97</v>
      </c>
      <c r="C59" s="21" t="s">
        <v>91</v>
      </c>
      <c r="D59" s="21" t="s">
        <v>20</v>
      </c>
      <c r="E59" s="51" t="s">
        <v>92</v>
      </c>
      <c r="F59" s="42">
        <f>1333448+88000+19360</f>
        <v>1440808</v>
      </c>
      <c r="G59" s="42">
        <f>1333448+88000+19360</f>
        <v>1440808</v>
      </c>
      <c r="H59" s="46">
        <f>1117611+88000</f>
        <v>1205611</v>
      </c>
      <c r="I59" s="42"/>
      <c r="J59" s="40"/>
      <c r="K59" s="42">
        <f>6700+27000</f>
        <v>33700</v>
      </c>
      <c r="L59" s="42">
        <f>6700+27000</f>
        <v>33700</v>
      </c>
      <c r="M59" s="40"/>
      <c r="N59" s="40"/>
      <c r="O59" s="40"/>
      <c r="P59" s="42">
        <f>6700+27000</f>
        <v>33700</v>
      </c>
      <c r="Q59" s="40"/>
      <c r="R59" s="40">
        <f t="shared" si="6"/>
        <v>1474508</v>
      </c>
    </row>
    <row r="60" spans="1:18" s="12" customFormat="1" ht="15" customHeight="1">
      <c r="A60" s="11"/>
      <c r="B60" s="22">
        <v>1011080</v>
      </c>
      <c r="C60" s="23">
        <v>1080</v>
      </c>
      <c r="D60" s="21" t="s">
        <v>35</v>
      </c>
      <c r="E60" s="66" t="s">
        <v>138</v>
      </c>
      <c r="F60" s="42">
        <f>1850737+3191336+1150+2600+7800-44000-9680</f>
        <v>4999943</v>
      </c>
      <c r="G60" s="42">
        <f>1850737+3191336+1150+2600+7800-44000-9680</f>
        <v>4999943</v>
      </c>
      <c r="H60" s="42">
        <f>1496073+2421520-44000</f>
        <v>3873593</v>
      </c>
      <c r="I60" s="46">
        <v>213703</v>
      </c>
      <c r="J60" s="42"/>
      <c r="K60" s="42">
        <f>18300+36600</f>
        <v>54900</v>
      </c>
      <c r="L60" s="42"/>
      <c r="M60" s="42">
        <f>18300+36600</f>
        <v>54900</v>
      </c>
      <c r="N60" s="42">
        <f>15000+30000</f>
        <v>45000</v>
      </c>
      <c r="O60" s="42"/>
      <c r="P60" s="40"/>
      <c r="Q60" s="40"/>
      <c r="R60" s="40">
        <f t="shared" si="6"/>
        <v>5054843</v>
      </c>
    </row>
    <row r="61" spans="1:18" s="12" customFormat="1" ht="46.5" customHeight="1">
      <c r="A61" s="11"/>
      <c r="B61" s="18" t="s">
        <v>75</v>
      </c>
      <c r="C61" s="23">
        <v>3131</v>
      </c>
      <c r="D61" s="21" t="s">
        <v>25</v>
      </c>
      <c r="E61" s="31" t="s">
        <v>10</v>
      </c>
      <c r="F61" s="42">
        <f>12000+98000</f>
        <v>110000</v>
      </c>
      <c r="G61" s="42">
        <f>12000+98000</f>
        <v>110000</v>
      </c>
      <c r="H61" s="42"/>
      <c r="I61" s="46"/>
      <c r="J61" s="42"/>
      <c r="K61" s="42"/>
      <c r="L61" s="42"/>
      <c r="M61" s="42"/>
      <c r="N61" s="42"/>
      <c r="O61" s="42"/>
      <c r="P61" s="40"/>
      <c r="Q61" s="40"/>
      <c r="R61" s="40">
        <f t="shared" si="6"/>
        <v>110000</v>
      </c>
    </row>
    <row r="62" spans="1:18" s="12" customFormat="1" ht="15">
      <c r="A62" s="11"/>
      <c r="B62" s="22">
        <v>1014030</v>
      </c>
      <c r="C62" s="23">
        <v>4030</v>
      </c>
      <c r="D62" s="21" t="s">
        <v>5</v>
      </c>
      <c r="E62" s="27" t="s">
        <v>42</v>
      </c>
      <c r="F62" s="46">
        <f>6217525+45000+53555</f>
        <v>6316080</v>
      </c>
      <c r="G62" s="46">
        <f>6217525+45000+53555</f>
        <v>6316080</v>
      </c>
      <c r="H62" s="42">
        <v>4347522</v>
      </c>
      <c r="I62" s="42">
        <v>720838</v>
      </c>
      <c r="J62" s="42"/>
      <c r="K62" s="42"/>
      <c r="L62" s="42"/>
      <c r="M62" s="40"/>
      <c r="N62" s="40"/>
      <c r="O62" s="40"/>
      <c r="P62" s="42"/>
      <c r="Q62" s="40"/>
      <c r="R62" s="40">
        <f t="shared" si="6"/>
        <v>6316080</v>
      </c>
    </row>
    <row r="63" spans="1:18" s="12" customFormat="1" ht="15">
      <c r="A63" s="11"/>
      <c r="B63" s="22">
        <v>1014040</v>
      </c>
      <c r="C63" s="23">
        <v>4040</v>
      </c>
      <c r="D63" s="21" t="s">
        <v>5</v>
      </c>
      <c r="E63" s="27" t="s">
        <v>43</v>
      </c>
      <c r="F63" s="46">
        <f>1962739+292437+7500+29000</f>
        <v>2291676</v>
      </c>
      <c r="G63" s="42">
        <f>1962739+292437+7500+29000</f>
        <v>2291676</v>
      </c>
      <c r="H63" s="42">
        <f>1432649+194808</f>
        <v>1627457</v>
      </c>
      <c r="I63" s="42">
        <f>156800+54769</f>
        <v>211569</v>
      </c>
      <c r="J63" s="42"/>
      <c r="K63" s="42">
        <v>1500</v>
      </c>
      <c r="L63" s="42"/>
      <c r="M63" s="42">
        <v>1500</v>
      </c>
      <c r="N63" s="40"/>
      <c r="O63" s="40"/>
      <c r="P63" s="40"/>
      <c r="Q63" s="40"/>
      <c r="R63" s="40">
        <f t="shared" si="6"/>
        <v>2293176</v>
      </c>
    </row>
    <row r="64" spans="1:18" s="12" customFormat="1" ht="34.5" customHeight="1">
      <c r="A64" s="11"/>
      <c r="B64" s="22">
        <v>1014060</v>
      </c>
      <c r="C64" s="23">
        <v>4060</v>
      </c>
      <c r="D64" s="21" t="s">
        <v>3</v>
      </c>
      <c r="E64" s="39" t="s">
        <v>62</v>
      </c>
      <c r="F64" s="46">
        <f>4060877+2751092+1647266+435430+30523+2900</f>
        <v>8928088</v>
      </c>
      <c r="G64" s="46">
        <f>4060877+2751092+1647266+435430+30523+2900</f>
        <v>8928088</v>
      </c>
      <c r="H64" s="42">
        <f>2356167+1766522+988794+354603</f>
        <v>5466086</v>
      </c>
      <c r="I64" s="42">
        <f>896130+484885+380000</f>
        <v>1761015</v>
      </c>
      <c r="J64" s="42"/>
      <c r="K64" s="42">
        <f>104538+8500+199000+24680</f>
        <v>336718</v>
      </c>
      <c r="L64" s="42">
        <f>199000+24680</f>
        <v>223680</v>
      </c>
      <c r="M64" s="42">
        <f>104538+8500</f>
        <v>113038</v>
      </c>
      <c r="N64" s="42">
        <v>78600</v>
      </c>
      <c r="O64" s="40"/>
      <c r="P64" s="42">
        <f>199000+24680</f>
        <v>223680</v>
      </c>
      <c r="Q64" s="40"/>
      <c r="R64" s="40">
        <f t="shared" si="6"/>
        <v>9264806</v>
      </c>
    </row>
    <row r="65" spans="1:18" s="12" customFormat="1" ht="30">
      <c r="A65" s="11"/>
      <c r="B65" s="22">
        <v>1014081</v>
      </c>
      <c r="C65" s="23">
        <v>4081</v>
      </c>
      <c r="D65" s="21" t="s">
        <v>58</v>
      </c>
      <c r="E65" s="51" t="s">
        <v>59</v>
      </c>
      <c r="F65" s="46">
        <f>2178106-44000-9680</f>
        <v>2124426</v>
      </c>
      <c r="G65" s="42">
        <f>2178106-44000-9680</f>
        <v>2124426</v>
      </c>
      <c r="H65" s="42">
        <f>1743457-44000</f>
        <v>1699457</v>
      </c>
      <c r="I65" s="42"/>
      <c r="J65" s="42"/>
      <c r="K65" s="42">
        <v>14200</v>
      </c>
      <c r="L65" s="42">
        <v>14200</v>
      </c>
      <c r="M65" s="42"/>
      <c r="N65" s="42"/>
      <c r="O65" s="42"/>
      <c r="P65" s="42">
        <v>14200</v>
      </c>
      <c r="Q65" s="42"/>
      <c r="R65" s="40">
        <f t="shared" si="6"/>
        <v>2138626</v>
      </c>
    </row>
    <row r="66" spans="1:18" s="12" customFormat="1" ht="15">
      <c r="A66" s="11"/>
      <c r="B66" s="22">
        <v>1014082</v>
      </c>
      <c r="C66" s="23">
        <v>4082</v>
      </c>
      <c r="D66" s="21" t="s">
        <v>58</v>
      </c>
      <c r="E66" s="51" t="s">
        <v>60</v>
      </c>
      <c r="F66" s="42">
        <f>75000+125550+48494+55000</f>
        <v>304044</v>
      </c>
      <c r="G66" s="42">
        <f>75000+125550+48494+55000</f>
        <v>304044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0">
        <f t="shared" si="6"/>
        <v>304044</v>
      </c>
    </row>
    <row r="67" spans="1:18" s="12" customFormat="1" ht="30">
      <c r="A67" s="11"/>
      <c r="B67" s="18" t="s">
        <v>76</v>
      </c>
      <c r="C67" s="54">
        <v>5011</v>
      </c>
      <c r="D67" s="26" t="s">
        <v>30</v>
      </c>
      <c r="E67" s="32" t="s">
        <v>31</v>
      </c>
      <c r="F67" s="42">
        <v>3000</v>
      </c>
      <c r="G67" s="42">
        <v>3000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0">
        <f t="shared" si="6"/>
        <v>3000</v>
      </c>
    </row>
    <row r="68" spans="1:18" s="12" customFormat="1" ht="30">
      <c r="A68" s="11"/>
      <c r="B68" s="18" t="s">
        <v>77</v>
      </c>
      <c r="C68" s="54">
        <v>5012</v>
      </c>
      <c r="D68" s="26" t="s">
        <v>30</v>
      </c>
      <c r="E68" s="32" t="s">
        <v>32</v>
      </c>
      <c r="F68" s="42">
        <v>10000</v>
      </c>
      <c r="G68" s="42">
        <v>10000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0">
        <f t="shared" si="6"/>
        <v>10000</v>
      </c>
    </row>
    <row r="69" spans="1:18" s="12" customFormat="1" ht="15" hidden="1">
      <c r="A69" s="11"/>
      <c r="B69" s="18"/>
      <c r="C69" s="23"/>
      <c r="D69" s="21"/>
      <c r="E69" s="33"/>
      <c r="F69" s="42"/>
      <c r="G69" s="42"/>
      <c r="H69" s="42"/>
      <c r="I69" s="43"/>
      <c r="J69" s="42"/>
      <c r="K69" s="42"/>
      <c r="L69" s="42"/>
      <c r="M69" s="42"/>
      <c r="N69" s="42"/>
      <c r="O69" s="42"/>
      <c r="P69" s="42"/>
      <c r="Q69" s="42"/>
      <c r="R69" s="40">
        <f t="shared" si="6"/>
        <v>0</v>
      </c>
    </row>
    <row r="70" spans="1:18" s="12" customFormat="1" ht="60">
      <c r="A70" s="11"/>
      <c r="B70" s="18" t="s">
        <v>96</v>
      </c>
      <c r="C70" s="23">
        <v>5061</v>
      </c>
      <c r="D70" s="21" t="s">
        <v>30</v>
      </c>
      <c r="E70" s="33" t="s">
        <v>108</v>
      </c>
      <c r="F70" s="46">
        <f>2074965+11030</f>
        <v>2085995</v>
      </c>
      <c r="G70" s="46">
        <f>2074965+11030</f>
        <v>2085995</v>
      </c>
      <c r="H70" s="40"/>
      <c r="I70" s="40"/>
      <c r="J70" s="42"/>
      <c r="K70" s="42"/>
      <c r="L70" s="42"/>
      <c r="M70" s="42"/>
      <c r="N70" s="42"/>
      <c r="O70" s="42"/>
      <c r="P70" s="42"/>
      <c r="Q70" s="42"/>
      <c r="R70" s="40">
        <f t="shared" si="6"/>
        <v>2085995</v>
      </c>
    </row>
    <row r="71" spans="1:18" s="12" customFormat="1" ht="15" hidden="1">
      <c r="A71" s="11"/>
      <c r="B71" s="18"/>
      <c r="C71" s="23"/>
      <c r="D71" s="21"/>
      <c r="E71" s="33"/>
      <c r="F71" s="46">
        <f>55000-55000</f>
        <v>0</v>
      </c>
      <c r="G71" s="46">
        <f>55000-55000</f>
        <v>0</v>
      </c>
      <c r="H71" s="40"/>
      <c r="I71" s="40"/>
      <c r="J71" s="42"/>
      <c r="K71" s="42"/>
      <c r="L71" s="42"/>
      <c r="M71" s="42"/>
      <c r="N71" s="42"/>
      <c r="O71" s="42"/>
      <c r="P71" s="42"/>
      <c r="Q71" s="42"/>
      <c r="R71" s="40">
        <f t="shared" si="6"/>
        <v>0</v>
      </c>
    </row>
    <row r="72" spans="1:18" s="12" customFormat="1" ht="29.25">
      <c r="A72" s="11"/>
      <c r="B72" s="22">
        <v>3700000</v>
      </c>
      <c r="C72" s="23"/>
      <c r="D72" s="21"/>
      <c r="E72" s="24" t="s">
        <v>129</v>
      </c>
      <c r="F72" s="40">
        <f aca="true" t="shared" si="9" ref="F72:O72">F73</f>
        <v>3900871</v>
      </c>
      <c r="G72" s="40">
        <f t="shared" si="9"/>
        <v>3900871</v>
      </c>
      <c r="H72" s="40">
        <f t="shared" si="9"/>
        <v>2764410</v>
      </c>
      <c r="I72" s="40">
        <f t="shared" si="9"/>
        <v>52600</v>
      </c>
      <c r="J72" s="40">
        <f t="shared" si="9"/>
        <v>0</v>
      </c>
      <c r="K72" s="40">
        <f t="shared" si="9"/>
        <v>79730</v>
      </c>
      <c r="L72" s="40">
        <f t="shared" si="9"/>
        <v>79730</v>
      </c>
      <c r="M72" s="40">
        <f t="shared" si="9"/>
        <v>0</v>
      </c>
      <c r="N72" s="40">
        <f t="shared" si="9"/>
        <v>0</v>
      </c>
      <c r="O72" s="40">
        <f t="shared" si="9"/>
        <v>0</v>
      </c>
      <c r="P72" s="40">
        <f>P73</f>
        <v>79730</v>
      </c>
      <c r="Q72" s="40">
        <f>Q73</f>
        <v>0</v>
      </c>
      <c r="R72" s="40">
        <f t="shared" si="6"/>
        <v>3980601</v>
      </c>
    </row>
    <row r="73" spans="1:18" s="12" customFormat="1" ht="30">
      <c r="A73" s="11"/>
      <c r="B73" s="22">
        <v>3710000</v>
      </c>
      <c r="C73" s="23"/>
      <c r="D73" s="21"/>
      <c r="E73" s="24" t="s">
        <v>130</v>
      </c>
      <c r="F73" s="40">
        <f>SUM(F74:F77)</f>
        <v>3900871</v>
      </c>
      <c r="G73" s="40">
        <f>SUM(G74:G77)</f>
        <v>3900871</v>
      </c>
      <c r="H73" s="40">
        <f>SUM(H74:H77)</f>
        <v>2764410</v>
      </c>
      <c r="I73" s="40">
        <f>SUM(I74:I77)</f>
        <v>52600</v>
      </c>
      <c r="J73" s="40">
        <f>SUM(J74:J75)</f>
        <v>0</v>
      </c>
      <c r="K73" s="40">
        <f aca="true" t="shared" si="10" ref="K73:P73">SUM(K74:K77)</f>
        <v>79730</v>
      </c>
      <c r="L73" s="40">
        <f t="shared" si="10"/>
        <v>79730</v>
      </c>
      <c r="M73" s="40">
        <f t="shared" si="10"/>
        <v>0</v>
      </c>
      <c r="N73" s="40">
        <f t="shared" si="10"/>
        <v>0</v>
      </c>
      <c r="O73" s="40">
        <f t="shared" si="10"/>
        <v>0</v>
      </c>
      <c r="P73" s="40">
        <f t="shared" si="10"/>
        <v>79730</v>
      </c>
      <c r="Q73" s="40">
        <f>SUM(Q75:Q75)</f>
        <v>0</v>
      </c>
      <c r="R73" s="40">
        <f t="shared" si="6"/>
        <v>3980601</v>
      </c>
    </row>
    <row r="74" spans="1:18" s="12" customFormat="1" ht="45">
      <c r="A74" s="11"/>
      <c r="B74" s="18" t="s">
        <v>95</v>
      </c>
      <c r="C74" s="21" t="s">
        <v>91</v>
      </c>
      <c r="D74" s="21" t="s">
        <v>20</v>
      </c>
      <c r="E74" s="51" t="s">
        <v>92</v>
      </c>
      <c r="F74" s="42">
        <v>3500871</v>
      </c>
      <c r="G74" s="42">
        <v>3500871</v>
      </c>
      <c r="H74" s="46">
        <v>2764410</v>
      </c>
      <c r="I74" s="42">
        <v>52600</v>
      </c>
      <c r="J74" s="42"/>
      <c r="K74" s="40"/>
      <c r="L74" s="40"/>
      <c r="M74" s="42"/>
      <c r="N74" s="42"/>
      <c r="O74" s="42"/>
      <c r="P74" s="40"/>
      <c r="Q74" s="40"/>
      <c r="R74" s="40">
        <f t="shared" si="6"/>
        <v>3500871</v>
      </c>
    </row>
    <row r="75" spans="1:18" s="12" customFormat="1" ht="15" hidden="1">
      <c r="A75" s="11"/>
      <c r="B75" s="22"/>
      <c r="C75" s="23"/>
      <c r="D75" s="21"/>
      <c r="E75" s="27"/>
      <c r="F75" s="42"/>
      <c r="G75" s="42"/>
      <c r="H75" s="42"/>
      <c r="I75" s="42"/>
      <c r="J75" s="42"/>
      <c r="K75" s="40"/>
      <c r="L75" s="40"/>
      <c r="M75" s="42"/>
      <c r="N75" s="42"/>
      <c r="O75" s="42"/>
      <c r="P75" s="40"/>
      <c r="Q75" s="40"/>
      <c r="R75" s="40">
        <f t="shared" si="6"/>
        <v>0</v>
      </c>
    </row>
    <row r="76" spans="1:18" s="12" customFormat="1" ht="30">
      <c r="A76" s="11"/>
      <c r="B76" s="22">
        <v>3719750</v>
      </c>
      <c r="C76" s="23">
        <v>9750</v>
      </c>
      <c r="D76" s="21" t="s">
        <v>144</v>
      </c>
      <c r="E76" s="51" t="s">
        <v>145</v>
      </c>
      <c r="F76" s="42"/>
      <c r="G76" s="42"/>
      <c r="H76" s="42"/>
      <c r="I76" s="42"/>
      <c r="J76" s="42"/>
      <c r="K76" s="42">
        <v>79730</v>
      </c>
      <c r="L76" s="42">
        <v>79730</v>
      </c>
      <c r="M76" s="42"/>
      <c r="N76" s="42"/>
      <c r="O76" s="42"/>
      <c r="P76" s="42">
        <v>79730</v>
      </c>
      <c r="Q76" s="40"/>
      <c r="R76" s="40">
        <f t="shared" si="6"/>
        <v>79730</v>
      </c>
    </row>
    <row r="77" spans="1:18" s="12" customFormat="1" ht="231" customHeight="1">
      <c r="A77" s="11"/>
      <c r="B77" s="22">
        <v>3719800</v>
      </c>
      <c r="C77" s="23">
        <v>9800</v>
      </c>
      <c r="D77" s="21" t="s">
        <v>144</v>
      </c>
      <c r="E77" s="27" t="s">
        <v>151</v>
      </c>
      <c r="F77" s="42">
        <f>100000+300000</f>
        <v>400000</v>
      </c>
      <c r="G77" s="42">
        <f>100000+300000</f>
        <v>400000</v>
      </c>
      <c r="H77" s="42"/>
      <c r="I77" s="42"/>
      <c r="J77" s="42"/>
      <c r="K77" s="40"/>
      <c r="L77" s="40"/>
      <c r="M77" s="42"/>
      <c r="N77" s="42"/>
      <c r="O77" s="42"/>
      <c r="P77" s="40"/>
      <c r="Q77" s="40"/>
      <c r="R77" s="40">
        <f t="shared" si="6"/>
        <v>400000</v>
      </c>
    </row>
    <row r="78" spans="1:18" s="12" customFormat="1" ht="27" customHeight="1">
      <c r="A78" s="11"/>
      <c r="B78" s="22"/>
      <c r="C78" s="23"/>
      <c r="D78" s="21"/>
      <c r="E78" s="19" t="s">
        <v>23</v>
      </c>
      <c r="F78" s="56">
        <f aca="true" t="shared" si="11" ref="F78:P78">SUM(F8+F25+F44+F57+F72)</f>
        <v>334555682</v>
      </c>
      <c r="G78" s="56">
        <f t="shared" si="11"/>
        <v>334555682</v>
      </c>
      <c r="H78" s="56">
        <f t="shared" si="11"/>
        <v>207083739</v>
      </c>
      <c r="I78" s="67">
        <f t="shared" si="11"/>
        <v>27084624</v>
      </c>
      <c r="J78" s="56">
        <f t="shared" si="11"/>
        <v>0</v>
      </c>
      <c r="K78" s="56">
        <f t="shared" si="11"/>
        <v>14926217</v>
      </c>
      <c r="L78" s="56">
        <f t="shared" si="11"/>
        <v>3264581</v>
      </c>
      <c r="M78" s="56">
        <f t="shared" si="11"/>
        <v>6661636</v>
      </c>
      <c r="N78" s="56">
        <f t="shared" si="11"/>
        <v>1196450</v>
      </c>
      <c r="O78" s="56">
        <f t="shared" si="11"/>
        <v>171103</v>
      </c>
      <c r="P78" s="56">
        <f t="shared" si="11"/>
        <v>8264581</v>
      </c>
      <c r="Q78" s="56"/>
      <c r="R78" s="40">
        <f>SUM(F78,K78)</f>
        <v>349481899</v>
      </c>
    </row>
    <row r="79" spans="1:18" s="12" customFormat="1" ht="27" customHeight="1">
      <c r="A79" s="11"/>
      <c r="B79" s="69"/>
      <c r="C79" s="70"/>
      <c r="D79" s="71"/>
      <c r="E79" s="72"/>
      <c r="F79" s="73"/>
      <c r="G79" s="73"/>
      <c r="H79" s="73"/>
      <c r="I79" s="74"/>
      <c r="J79" s="73"/>
      <c r="K79" s="73"/>
      <c r="L79" s="73"/>
      <c r="M79" s="73"/>
      <c r="N79" s="73"/>
      <c r="O79" s="73"/>
      <c r="P79" s="73"/>
      <c r="Q79" s="73"/>
      <c r="R79" s="75"/>
    </row>
    <row r="80" spans="1:20" s="12" customFormat="1" ht="27" customHeight="1">
      <c r="A80" s="11"/>
      <c r="B80" s="69"/>
      <c r="C80" s="70"/>
      <c r="D80" s="84" t="s">
        <v>154</v>
      </c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</row>
    <row r="81" s="12" customFormat="1" ht="23.25" customHeight="1">
      <c r="A81" s="11"/>
    </row>
    <row r="82" spans="1:19" s="12" customFormat="1" ht="23.25" customHeight="1">
      <c r="A82" s="11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2" customFormat="1" ht="23.25" customHeight="1">
      <c r="A83" s="11"/>
      <c r="B83" s="62"/>
      <c r="C83" s="64"/>
      <c r="D83" s="65"/>
      <c r="E83" s="65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</row>
    <row r="84" spans="1:19" s="12" customFormat="1" ht="23.25" customHeight="1">
      <c r="A84" s="11"/>
      <c r="B84" s="62"/>
      <c r="C84" s="64"/>
      <c r="D84" s="65"/>
      <c r="E84" s="65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</row>
    <row r="85" spans="1:19" s="12" customFormat="1" ht="23.25" customHeight="1">
      <c r="A85" s="11"/>
      <c r="B85" s="62"/>
      <c r="C85" s="64"/>
      <c r="D85" s="65"/>
      <c r="E85" s="65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</row>
    <row r="86" spans="1:19" s="12" customFormat="1" ht="23.25" customHeight="1">
      <c r="A86" s="11"/>
      <c r="B86" s="62"/>
      <c r="C86" s="64"/>
      <c r="D86" s="65"/>
      <c r="E86" s="65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</row>
    <row r="87" spans="1:19" s="12" customFormat="1" ht="23.25" customHeight="1">
      <c r="A87" s="11"/>
      <c r="B87" s="62"/>
      <c r="C87" s="64"/>
      <c r="D87" s="65"/>
      <c r="E87" s="65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</row>
    <row r="88" spans="1:19" s="12" customFormat="1" ht="23.25" customHeight="1">
      <c r="A88" s="11"/>
      <c r="B88" s="62"/>
      <c r="C88" s="64"/>
      <c r="D88" s="65"/>
      <c r="E88" s="65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</row>
    <row r="89" spans="1:19" s="12" customFormat="1" ht="23.25" customHeight="1">
      <c r="A89" s="11"/>
      <c r="B89" s="62"/>
      <c r="C89" s="64"/>
      <c r="D89" s="65"/>
      <c r="E89" s="65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</row>
    <row r="90" spans="1:19" s="12" customFormat="1" ht="23.25" customHeight="1">
      <c r="A90" s="11"/>
      <c r="B90" s="62"/>
      <c r="C90" s="64"/>
      <c r="D90" s="65"/>
      <c r="E90" s="65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</row>
    <row r="91" spans="1:19" s="12" customFormat="1" ht="23.25" customHeight="1">
      <c r="A91" s="11"/>
      <c r="B91" s="62"/>
      <c r="C91" s="64"/>
      <c r="D91" s="65"/>
      <c r="E91" s="65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</row>
    <row r="92" spans="1:19" s="12" customFormat="1" ht="23.25" customHeight="1">
      <c r="A92" s="11"/>
      <c r="B92" s="62"/>
      <c r="C92" s="62"/>
      <c r="D92" s="65"/>
      <c r="E92" s="65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</row>
    <row r="93" spans="1:19" s="12" customFormat="1" ht="29.25" customHeight="1">
      <c r="A93" s="11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</row>
    <row r="94" spans="1:18" s="12" customFormat="1" ht="27.75" customHeight="1">
      <c r="A94" s="11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</row>
  </sheetData>
  <sheetProtection/>
  <mergeCells count="26">
    <mergeCell ref="F4:J4"/>
    <mergeCell ref="J5:J7"/>
    <mergeCell ref="G5:G7"/>
    <mergeCell ref="O6:O7"/>
    <mergeCell ref="L5:L7"/>
    <mergeCell ref="N5:O5"/>
    <mergeCell ref="B94:R94"/>
    <mergeCell ref="H6:H7"/>
    <mergeCell ref="I6:I7"/>
    <mergeCell ref="C4:C7"/>
    <mergeCell ref="K5:K7"/>
    <mergeCell ref="B93:S93"/>
    <mergeCell ref="D80:T80"/>
    <mergeCell ref="R4:R7"/>
    <mergeCell ref="Q6:Q7"/>
    <mergeCell ref="B4:B7"/>
    <mergeCell ref="N1:R1"/>
    <mergeCell ref="N6:N7"/>
    <mergeCell ref="D4:D7"/>
    <mergeCell ref="E4:E7"/>
    <mergeCell ref="F5:F7"/>
    <mergeCell ref="K4:Q4"/>
    <mergeCell ref="H5:I5"/>
    <mergeCell ref="M5:M7"/>
    <mergeCell ref="C2:R2"/>
    <mergeCell ref="P5:P7"/>
  </mergeCells>
  <printOptions horizontalCentered="1"/>
  <pageMargins left="0.5905511811023623" right="0.3937007874015748" top="1.1811023622047245" bottom="0.5905511811023623" header="0.5118110236220472" footer="0.31496062992125984"/>
  <pageSetup fitToHeight="0" horizontalDpi="300" verticalDpi="300" orientation="landscape" paperSize="9" scale="52" r:id="rId1"/>
  <headerFooter alignWithMargins="0">
    <oddFooter>&amp;R&amp;P</oddFooter>
  </headerFooter>
  <rowBreaks count="2" manualBreakCount="2">
    <brk id="33" min="1" max="18" man="1"/>
    <brk id="54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2022-06-22T07:18:28Z</cp:lastPrinted>
  <dcterms:created xsi:type="dcterms:W3CDTF">2014-01-17T10:52:16Z</dcterms:created>
  <dcterms:modified xsi:type="dcterms:W3CDTF">2022-06-23T08:05:19Z</dcterms:modified>
  <cp:category/>
  <cp:version/>
  <cp:contentType/>
  <cp:contentStatus/>
</cp:coreProperties>
</file>